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10" windowHeight="2460" tabRatio="663" activeTab="0"/>
  </bookViews>
  <sheets>
    <sheet name="19 SYSTEM  " sheetId="1" r:id="rId1"/>
    <sheet name="20 SYSTEM  " sheetId="2" r:id="rId2"/>
  </sheets>
  <definedNames>
    <definedName name="_xlnm.Print_Area" localSheetId="0">'19 SYSTEM  '!$A$2:$M$169</definedName>
    <definedName name="_xlnm.Print_Area" localSheetId="1">'20 SYSTEM  '!$A$2:$M$169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<sst xmlns="http://schemas.openxmlformats.org/spreadsheetml/2006/main" count="404" uniqueCount="44">
  <si>
    <t>SCHEDULE OF TOLL REVENUES</t>
  </si>
  <si>
    <t>CLASS</t>
  </si>
  <si>
    <t>2X</t>
  </si>
  <si>
    <t>3X</t>
  </si>
  <si>
    <t>4X</t>
  </si>
  <si>
    <t>5X</t>
  </si>
  <si>
    <t>6X</t>
  </si>
  <si>
    <t>PEDES.</t>
  </si>
  <si>
    <t>RATE</t>
  </si>
  <si>
    <t>REVENUE</t>
  </si>
  <si>
    <t>2X Frgt.</t>
  </si>
  <si>
    <t>3X Frgt.</t>
  </si>
  <si>
    <t>4X Frgt.</t>
  </si>
  <si>
    <t>5X Frgt.</t>
  </si>
  <si>
    <t>6X Frgt.</t>
  </si>
  <si>
    <t>Revenue</t>
  </si>
  <si>
    <t>BIKE</t>
  </si>
  <si>
    <t>Bike</t>
  </si>
  <si>
    <t>BUS</t>
  </si>
  <si>
    <t>Bus</t>
  </si>
  <si>
    <t>MISC.</t>
  </si>
  <si>
    <t>Misc.</t>
  </si>
  <si>
    <t>TOTAL</t>
  </si>
  <si>
    <t>CROSSINGS</t>
  </si>
  <si>
    <t>SOURCE:  INTERNATIONAL BRIDGE SYSTEM</t>
  </si>
  <si>
    <t>TRANS.</t>
  </si>
  <si>
    <t>Transmigrant</t>
  </si>
  <si>
    <t>Auto/Motorcycle</t>
  </si>
  <si>
    <t>Pedestrian</t>
  </si>
  <si>
    <t>$7.75&amp;11.25</t>
  </si>
  <si>
    <t>GATEWAY INTERNATIONAL BRIDGE</t>
  </si>
  <si>
    <t>AUTO/MTRCYC</t>
  </si>
  <si>
    <t>VETERANS INTERNATIONAL BRIDGE</t>
  </si>
  <si>
    <t>INTERNATIONAL BRIDGE SYSTEM</t>
  </si>
  <si>
    <t>FREE TRADE BRIDGE AT LOS INDIOS</t>
  </si>
  <si>
    <t>Fiscal Year 2019    Year to Date</t>
  </si>
  <si>
    <t>FY19</t>
  </si>
  <si>
    <t>Fiscal Year 2020    Year to Date</t>
  </si>
  <si>
    <t>FY20</t>
  </si>
  <si>
    <t>9.50&amp;11</t>
  </si>
  <si>
    <t>13.50&amp;15</t>
  </si>
  <si>
    <t>15.50&amp;17.25</t>
  </si>
  <si>
    <t>19.25&amp;22</t>
  </si>
  <si>
    <t>23.25&amp;25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</si>
</sst>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#,##0.000_);[Red]\(#,##0.000\)"/>
    <numFmt numFmtId="167" formatCode="#,##0.0_);[Red]\(#,##0.0\)"/>
    <numFmt numFmtId="168" formatCode="&quot;$&quot;#,##0.0_);[Red]\(&quot;$&quot;#,##0.0\)"/>
    <numFmt numFmtId="169" formatCode="_(* #,##0_);_(* \(#,##0\);_(* &quot;-&quot;??_);_(@_)"/>
    <numFmt numFmtId="170" formatCode="mmmmm\-yy"/>
    <numFmt numFmtId="171" formatCode="&quot;$&quot;#,##0.00"/>
    <numFmt numFmtId="172" formatCode="[$-409]dddd\,\ mmmm\ dd\,\ yyyy"/>
    <numFmt numFmtId="173" formatCode="[$-409]h:mm:ss\ AM/PM"/>
    <numFmt numFmtId="174" formatCode="00000"/>
  </numFmts>
  <fonts count="4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Border="1" applyAlignment="1">
      <alignment vertical="center"/>
    </xf>
    <xf numFmtId="17" fontId="6" fillId="0" borderId="10" xfId="0" applyNumberFormat="1" applyFont="1" applyFill="1" applyBorder="1" applyAlignment="1">
      <alignment horizontal="center" vertical="center"/>
    </xf>
    <xf numFmtId="38" fontId="8" fillId="0" borderId="11" xfId="42" applyNumberFormat="1" applyFont="1" applyFill="1" applyBorder="1" applyAlignment="1">
      <alignment horizontal="center" vertical="center"/>
    </xf>
    <xf numFmtId="8" fontId="8" fillId="0" borderId="12" xfId="44" applyFont="1" applyFill="1" applyBorder="1" applyAlignment="1">
      <alignment horizontal="center" vertical="center"/>
    </xf>
    <xf numFmtId="38" fontId="8" fillId="0" borderId="10" xfId="42" applyNumberFormat="1" applyFont="1" applyFill="1" applyBorder="1" applyAlignment="1">
      <alignment horizontal="center" vertical="center"/>
    </xf>
    <xf numFmtId="8" fontId="8" fillId="0" borderId="13" xfId="44" applyFont="1" applyFill="1" applyBorder="1" applyAlignment="1">
      <alignment horizontal="center" vertical="center"/>
    </xf>
    <xf numFmtId="8" fontId="8" fillId="0" borderId="10" xfId="44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6" fillId="0" borderId="0" xfId="0" applyFont="1" applyFill="1" applyAlignment="1">
      <alignment vertical="center"/>
    </xf>
    <xf numFmtId="164" fontId="7" fillId="0" borderId="0" xfId="0" applyFont="1" applyFill="1" applyAlignment="1">
      <alignment vertical="center"/>
    </xf>
    <xf numFmtId="164" fontId="7" fillId="0" borderId="0" xfId="0" applyFont="1" applyFill="1" applyAlignment="1">
      <alignment vertical="center"/>
    </xf>
    <xf numFmtId="17" fontId="5" fillId="0" borderId="14" xfId="0" applyNumberFormat="1" applyFont="1" applyFill="1" applyBorder="1" applyAlignment="1">
      <alignment horizontal="center" vertical="center"/>
    </xf>
    <xf numFmtId="38" fontId="8" fillId="0" borderId="15" xfId="42" applyNumberFormat="1" applyFont="1" applyFill="1" applyBorder="1" applyAlignment="1">
      <alignment horizontal="center" vertical="center"/>
    </xf>
    <xf numFmtId="8" fontId="8" fillId="0" borderId="16" xfId="44" applyFont="1" applyFill="1" applyBorder="1" applyAlignment="1">
      <alignment horizontal="center" vertical="center"/>
    </xf>
    <xf numFmtId="8" fontId="8" fillId="0" borderId="17" xfId="44" applyFont="1" applyFill="1" applyBorder="1" applyAlignment="1">
      <alignment horizontal="center" vertical="center"/>
    </xf>
    <xf numFmtId="164" fontId="8" fillId="0" borderId="15" xfId="0" applyFont="1" applyFill="1" applyBorder="1" applyAlignment="1">
      <alignment horizontal="center" vertical="center"/>
    </xf>
    <xf numFmtId="38" fontId="9" fillId="0" borderId="14" xfId="42" applyNumberFormat="1" applyFont="1" applyFill="1" applyBorder="1" applyAlignment="1">
      <alignment horizontal="center" vertical="center"/>
    </xf>
    <xf numFmtId="8" fontId="9" fillId="0" borderId="14" xfId="44" applyFont="1" applyFill="1" applyBorder="1" applyAlignment="1">
      <alignment horizontal="center" vertical="center"/>
    </xf>
    <xf numFmtId="164" fontId="10" fillId="0" borderId="0" xfId="0" applyFont="1" applyFill="1" applyAlignment="1">
      <alignment vertical="center"/>
    </xf>
    <xf numFmtId="164" fontId="5" fillId="33" borderId="18" xfId="0" applyFont="1" applyFill="1" applyBorder="1" applyAlignment="1">
      <alignment horizontal="center" vertical="center"/>
    </xf>
    <xf numFmtId="164" fontId="5" fillId="33" borderId="19" xfId="0" applyFont="1" applyFill="1" applyBorder="1" applyAlignment="1">
      <alignment horizontal="center" vertical="center"/>
    </xf>
    <xf numFmtId="164" fontId="5" fillId="33" borderId="20" xfId="0" applyFont="1" applyFill="1" applyBorder="1" applyAlignment="1">
      <alignment horizontal="center" vertical="center"/>
    </xf>
    <xf numFmtId="164" fontId="5" fillId="33" borderId="21" xfId="0" applyFont="1" applyFill="1" applyBorder="1" applyAlignment="1">
      <alignment horizontal="center" vertical="center"/>
    </xf>
    <xf numFmtId="8" fontId="5" fillId="33" borderId="14" xfId="44" applyFont="1" applyFill="1" applyBorder="1" applyAlignment="1">
      <alignment horizontal="center" vertical="center"/>
    </xf>
    <xf numFmtId="164" fontId="5" fillId="33" borderId="14" xfId="0" applyFont="1" applyFill="1" applyBorder="1" applyAlignment="1">
      <alignment horizontal="center" vertical="center"/>
    </xf>
    <xf numFmtId="164" fontId="5" fillId="33" borderId="17" xfId="0" applyFont="1" applyFill="1" applyBorder="1" applyAlignment="1">
      <alignment horizontal="center" vertical="center"/>
    </xf>
    <xf numFmtId="8" fontId="5" fillId="33" borderId="21" xfId="44" applyFont="1" applyFill="1" applyBorder="1" applyAlignment="1">
      <alignment horizontal="center" vertical="center"/>
    </xf>
    <xf numFmtId="164" fontId="11" fillId="0" borderId="0" xfId="0" applyFont="1" applyFill="1" applyAlignment="1">
      <alignment horizontal="center" vertical="center"/>
    </xf>
    <xf numFmtId="8" fontId="5" fillId="33" borderId="14" xfId="44" applyFont="1" applyFill="1" applyBorder="1" applyAlignment="1">
      <alignment horizontal="center" vertical="center"/>
    </xf>
    <xf numFmtId="8" fontId="5" fillId="33" borderId="21" xfId="44" applyFont="1" applyFill="1" applyBorder="1" applyAlignment="1">
      <alignment horizontal="center" vertical="center"/>
    </xf>
    <xf numFmtId="8" fontId="13" fillId="33" borderId="14" xfId="44" applyFont="1" applyFill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7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3</xdr:row>
      <xdr:rowOff>19050</xdr:rowOff>
    </xdr:from>
    <xdr:to>
      <xdr:col>7</xdr:col>
      <xdr:colOff>123825</xdr:colOff>
      <xdr:row>7</xdr:row>
      <xdr:rowOff>19050</xdr:rowOff>
    </xdr:to>
    <xdr:pic>
      <xdr:nvPicPr>
        <xdr:cNvPr id="1" name="Picture 1" descr="seal-bright-2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76275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45</xdr:row>
      <xdr:rowOff>19050</xdr:rowOff>
    </xdr:from>
    <xdr:to>
      <xdr:col>7</xdr:col>
      <xdr:colOff>123825</xdr:colOff>
      <xdr:row>48</xdr:row>
      <xdr:rowOff>161925</xdr:rowOff>
    </xdr:to>
    <xdr:pic>
      <xdr:nvPicPr>
        <xdr:cNvPr id="2" name="Picture 2" descr="seal-bright-2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7867650"/>
          <a:ext cx="990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87</xdr:row>
      <xdr:rowOff>19050</xdr:rowOff>
    </xdr:from>
    <xdr:to>
      <xdr:col>7</xdr:col>
      <xdr:colOff>123825</xdr:colOff>
      <xdr:row>91</xdr:row>
      <xdr:rowOff>19050</xdr:rowOff>
    </xdr:to>
    <xdr:pic>
      <xdr:nvPicPr>
        <xdr:cNvPr id="3" name="Picture 3" descr="seal-bright-2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059025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129</xdr:row>
      <xdr:rowOff>19050</xdr:rowOff>
    </xdr:from>
    <xdr:to>
      <xdr:col>7</xdr:col>
      <xdr:colOff>123825</xdr:colOff>
      <xdr:row>133</xdr:row>
      <xdr:rowOff>0</xdr:rowOff>
    </xdr:to>
    <xdr:pic>
      <xdr:nvPicPr>
        <xdr:cNvPr id="4" name="Picture 4" descr="seal-bright-2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2250400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3</xdr:row>
      <xdr:rowOff>19050</xdr:rowOff>
    </xdr:from>
    <xdr:to>
      <xdr:col>7</xdr:col>
      <xdr:colOff>123825</xdr:colOff>
      <xdr:row>7</xdr:row>
      <xdr:rowOff>19050</xdr:rowOff>
    </xdr:to>
    <xdr:pic>
      <xdr:nvPicPr>
        <xdr:cNvPr id="1" name="Picture 1" descr="seal-bright-2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76275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45</xdr:row>
      <xdr:rowOff>19050</xdr:rowOff>
    </xdr:from>
    <xdr:to>
      <xdr:col>7</xdr:col>
      <xdr:colOff>123825</xdr:colOff>
      <xdr:row>48</xdr:row>
      <xdr:rowOff>161925</xdr:rowOff>
    </xdr:to>
    <xdr:pic>
      <xdr:nvPicPr>
        <xdr:cNvPr id="2" name="Picture 2" descr="seal-bright-2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7867650"/>
          <a:ext cx="990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87</xdr:row>
      <xdr:rowOff>19050</xdr:rowOff>
    </xdr:from>
    <xdr:to>
      <xdr:col>7</xdr:col>
      <xdr:colOff>123825</xdr:colOff>
      <xdr:row>91</xdr:row>
      <xdr:rowOff>19050</xdr:rowOff>
    </xdr:to>
    <xdr:pic>
      <xdr:nvPicPr>
        <xdr:cNvPr id="3" name="Picture 3" descr="seal-bright-2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5059025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129</xdr:row>
      <xdr:rowOff>19050</xdr:rowOff>
    </xdr:from>
    <xdr:to>
      <xdr:col>7</xdr:col>
      <xdr:colOff>123825</xdr:colOff>
      <xdr:row>133</xdr:row>
      <xdr:rowOff>0</xdr:rowOff>
    </xdr:to>
    <xdr:pic>
      <xdr:nvPicPr>
        <xdr:cNvPr id="4" name="Picture 4" descr="seal-bright-2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2250400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9"/>
  <sheetViews>
    <sheetView tabSelected="1" zoomScalePageLayoutView="0" workbookViewId="0" topLeftCell="A63">
      <selection activeCell="F81" sqref="F81"/>
    </sheetView>
  </sheetViews>
  <sheetFormatPr defaultColWidth="9.00390625" defaultRowHeight="12.75"/>
  <cols>
    <col min="1" max="1" width="8.00390625" style="0" customWidth="1"/>
    <col min="2" max="2" width="10.75390625" style="0" customWidth="1"/>
    <col min="3" max="3" width="14.125" style="0" customWidth="1"/>
    <col min="4" max="4" width="10.25390625" style="0" bestFit="1" customWidth="1"/>
    <col min="5" max="5" width="11.375" style="0" customWidth="1"/>
    <col min="6" max="6" width="9.75390625" style="0" customWidth="1"/>
    <col min="7" max="7" width="13.375" style="0" customWidth="1"/>
    <col min="8" max="8" width="8.75390625" style="0" customWidth="1"/>
    <col min="9" max="9" width="12.875" style="0" customWidth="1"/>
    <col min="10" max="10" width="8.75390625" style="0" bestFit="1" customWidth="1"/>
    <col min="11" max="11" width="13.375" style="0" customWidth="1"/>
    <col min="12" max="12" width="10.50390625" style="0" customWidth="1"/>
    <col min="13" max="13" width="13.50390625" style="0" customWidth="1"/>
  </cols>
  <sheetData>
    <row r="1" s="1" customFormat="1" ht="17.25" customHeight="1"/>
    <row r="2" spans="1:13" s="1" customFormat="1" ht="17.25" customHeight="1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" customFormat="1" ht="17.2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17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="1" customFormat="1" ht="17.25" customHeight="1"/>
    <row r="6" s="1" customFormat="1" ht="17.25" customHeight="1"/>
    <row r="7" spans="1:13" s="1" customFormat="1" ht="13.5" customHeight="1">
      <c r="A7" s="11" t="s">
        <v>35</v>
      </c>
      <c r="B7" s="10"/>
      <c r="C7" s="10"/>
      <c r="D7" s="10"/>
      <c r="E7" s="12"/>
      <c r="F7" s="10"/>
      <c r="G7" s="10"/>
      <c r="H7" s="10"/>
      <c r="I7" s="10"/>
      <c r="J7" s="9"/>
      <c r="K7" s="9"/>
      <c r="L7" s="10"/>
      <c r="M7" s="10"/>
    </row>
    <row r="8" spans="1:13" s="1" customFormat="1" ht="13.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1" customFormat="1" ht="12.75">
      <c r="A9" s="21" t="s">
        <v>1</v>
      </c>
      <c r="B9" s="22" t="s">
        <v>31</v>
      </c>
      <c r="C9" s="22" t="s">
        <v>27</v>
      </c>
      <c r="D9" s="22" t="s">
        <v>2</v>
      </c>
      <c r="E9" s="22" t="s">
        <v>10</v>
      </c>
      <c r="F9" s="22" t="s">
        <v>3</v>
      </c>
      <c r="G9" s="23" t="s">
        <v>11</v>
      </c>
      <c r="H9" s="22" t="s">
        <v>4</v>
      </c>
      <c r="I9" s="23" t="s">
        <v>12</v>
      </c>
      <c r="J9" s="22" t="s">
        <v>5</v>
      </c>
      <c r="K9" s="23" t="s">
        <v>13</v>
      </c>
      <c r="L9" s="21" t="s">
        <v>6</v>
      </c>
      <c r="M9" s="22" t="s">
        <v>14</v>
      </c>
    </row>
    <row r="10" spans="1:13" s="2" customFormat="1" ht="13.5" thickBot="1">
      <c r="A10" s="24" t="s">
        <v>8</v>
      </c>
      <c r="B10" s="25">
        <v>3.75</v>
      </c>
      <c r="C10" s="26" t="s">
        <v>15</v>
      </c>
      <c r="D10" s="25">
        <v>11</v>
      </c>
      <c r="E10" s="26" t="s">
        <v>15</v>
      </c>
      <c r="F10" s="25">
        <v>15</v>
      </c>
      <c r="G10" s="27" t="s">
        <v>15</v>
      </c>
      <c r="H10" s="25">
        <v>17.25</v>
      </c>
      <c r="I10" s="27" t="s">
        <v>15</v>
      </c>
      <c r="J10" s="25">
        <v>22</v>
      </c>
      <c r="K10" s="27" t="s">
        <v>15</v>
      </c>
      <c r="L10" s="28">
        <v>25</v>
      </c>
      <c r="M10" s="26" t="s">
        <v>15</v>
      </c>
    </row>
    <row r="11" spans="1:13" s="2" customFormat="1" ht="12.75">
      <c r="A11" s="3">
        <v>43374</v>
      </c>
      <c r="B11" s="4">
        <v>102955</v>
      </c>
      <c r="C11" s="5">
        <f>SUM(B11*B10)</f>
        <v>386081.25</v>
      </c>
      <c r="D11" s="4">
        <v>0</v>
      </c>
      <c r="E11" s="5">
        <f>SUM(D11*D10)</f>
        <v>0</v>
      </c>
      <c r="F11" s="4">
        <v>0</v>
      </c>
      <c r="G11" s="5">
        <f>SUM(F11*F10)</f>
        <v>0</v>
      </c>
      <c r="H11" s="4">
        <v>0</v>
      </c>
      <c r="I11" s="5">
        <f>SUM(H11*H10)</f>
        <v>0</v>
      </c>
      <c r="J11" s="4">
        <v>0</v>
      </c>
      <c r="K11" s="5">
        <f>SUM(J11*J10)</f>
        <v>0</v>
      </c>
      <c r="L11" s="4">
        <v>0</v>
      </c>
      <c r="M11" s="5">
        <f>SUM(L11*L10)</f>
        <v>0</v>
      </c>
    </row>
    <row r="12" spans="1:13" s="2" customFormat="1" ht="12.75">
      <c r="A12" s="3">
        <v>43405</v>
      </c>
      <c r="B12" s="4">
        <v>103919</v>
      </c>
      <c r="C12" s="5">
        <f>SUM(B12*B10)</f>
        <v>389696.25</v>
      </c>
      <c r="D12" s="4">
        <v>0</v>
      </c>
      <c r="E12" s="5">
        <f>SUM(D12*D10)</f>
        <v>0</v>
      </c>
      <c r="F12" s="4">
        <v>0</v>
      </c>
      <c r="G12" s="5">
        <f>SUM(F12*F10)</f>
        <v>0</v>
      </c>
      <c r="H12" s="4">
        <v>0</v>
      </c>
      <c r="I12" s="5">
        <f>SUM(H12*H10)</f>
        <v>0</v>
      </c>
      <c r="J12" s="4">
        <v>0</v>
      </c>
      <c r="K12" s="5">
        <f>SUM(J12*J10)</f>
        <v>0</v>
      </c>
      <c r="L12" s="4">
        <v>0</v>
      </c>
      <c r="M12" s="5">
        <f>SUM(L12*L10)</f>
        <v>0</v>
      </c>
    </row>
    <row r="13" spans="1:13" s="2" customFormat="1" ht="12.75">
      <c r="A13" s="3">
        <v>43435</v>
      </c>
      <c r="B13" s="4">
        <v>116210</v>
      </c>
      <c r="C13" s="5">
        <f>SUM(B13*B10)</f>
        <v>435787.5</v>
      </c>
      <c r="D13" s="4">
        <v>0</v>
      </c>
      <c r="E13" s="5">
        <f>SUM(D13*D10)</f>
        <v>0</v>
      </c>
      <c r="F13" s="4">
        <v>0</v>
      </c>
      <c r="G13" s="5">
        <f>SUM(F13*F10)</f>
        <v>0</v>
      </c>
      <c r="H13" s="4">
        <v>0</v>
      </c>
      <c r="I13" s="5">
        <f>SUM(H13*H10)</f>
        <v>0</v>
      </c>
      <c r="J13" s="4">
        <v>0</v>
      </c>
      <c r="K13" s="5">
        <f>SUM(J13*J10)</f>
        <v>0</v>
      </c>
      <c r="L13" s="4">
        <v>0</v>
      </c>
      <c r="M13" s="5">
        <f>SUM(L13*L10)</f>
        <v>0</v>
      </c>
    </row>
    <row r="14" spans="1:13" s="2" customFormat="1" ht="12.75">
      <c r="A14" s="3">
        <v>43466</v>
      </c>
      <c r="B14" s="4">
        <v>101919</v>
      </c>
      <c r="C14" s="5">
        <f>SUM(B14*B10)</f>
        <v>382196.25</v>
      </c>
      <c r="D14" s="4">
        <v>0</v>
      </c>
      <c r="E14" s="5">
        <f>SUM(D14*D10)</f>
        <v>0</v>
      </c>
      <c r="F14" s="4">
        <v>0</v>
      </c>
      <c r="G14" s="5">
        <f>SUM(F14*F10)</f>
        <v>0</v>
      </c>
      <c r="H14" s="4">
        <v>0</v>
      </c>
      <c r="I14" s="5">
        <f>SUM(H14*H10)</f>
        <v>0</v>
      </c>
      <c r="J14" s="4">
        <v>0</v>
      </c>
      <c r="K14" s="5">
        <f>SUM(J14*J10)</f>
        <v>0</v>
      </c>
      <c r="L14" s="4">
        <v>0</v>
      </c>
      <c r="M14" s="5">
        <f>SUM(L14*L10)</f>
        <v>0</v>
      </c>
    </row>
    <row r="15" spans="1:13" s="2" customFormat="1" ht="12.75">
      <c r="A15" s="3">
        <v>43497</v>
      </c>
      <c r="B15" s="4">
        <v>89984</v>
      </c>
      <c r="C15" s="5">
        <f>SUM(B15*B10)</f>
        <v>337440</v>
      </c>
      <c r="D15" s="4">
        <v>0</v>
      </c>
      <c r="E15" s="5">
        <f>SUM(D15*D10)</f>
        <v>0</v>
      </c>
      <c r="F15" s="4">
        <v>0</v>
      </c>
      <c r="G15" s="5">
        <f>SUM(F15*F10)</f>
        <v>0</v>
      </c>
      <c r="H15" s="4">
        <v>0</v>
      </c>
      <c r="I15" s="5">
        <f>SUM(H15*H10)</f>
        <v>0</v>
      </c>
      <c r="J15" s="4">
        <v>0</v>
      </c>
      <c r="K15" s="5">
        <f>SUM(J15*J10)</f>
        <v>0</v>
      </c>
      <c r="L15" s="4">
        <v>0</v>
      </c>
      <c r="M15" s="5">
        <f>SUM(L15*L10)</f>
        <v>0</v>
      </c>
    </row>
    <row r="16" spans="1:13" s="2" customFormat="1" ht="12.75">
      <c r="A16" s="3">
        <v>43525</v>
      </c>
      <c r="B16" s="4">
        <v>102846</v>
      </c>
      <c r="C16" s="5">
        <f>SUM(B16*B10)</f>
        <v>385672.5</v>
      </c>
      <c r="D16" s="4">
        <v>0</v>
      </c>
      <c r="E16" s="5">
        <f>SUM(D16*D10)</f>
        <v>0</v>
      </c>
      <c r="F16" s="4">
        <v>0</v>
      </c>
      <c r="G16" s="5">
        <f>SUM(F16*F10)</f>
        <v>0</v>
      </c>
      <c r="H16" s="4">
        <v>0</v>
      </c>
      <c r="I16" s="5">
        <f>SUM(H16*H10)</f>
        <v>0</v>
      </c>
      <c r="J16" s="4">
        <v>0</v>
      </c>
      <c r="K16" s="5">
        <f>SUM(J16*J10)</f>
        <v>0</v>
      </c>
      <c r="L16" s="4">
        <v>0</v>
      </c>
      <c r="M16" s="5">
        <f>SUM(L16*L10)</f>
        <v>0</v>
      </c>
    </row>
    <row r="17" spans="1:13" s="2" customFormat="1" ht="12.75">
      <c r="A17" s="3">
        <v>43556</v>
      </c>
      <c r="B17" s="4">
        <v>78156</v>
      </c>
      <c r="C17" s="5">
        <f>SUM(B17*B10)</f>
        <v>293085</v>
      </c>
      <c r="D17" s="4">
        <v>0</v>
      </c>
      <c r="E17" s="5">
        <f>SUM(D17*D10)</f>
        <v>0</v>
      </c>
      <c r="F17" s="4">
        <v>0</v>
      </c>
      <c r="G17" s="5">
        <f>SUM(F17*F10)</f>
        <v>0</v>
      </c>
      <c r="H17" s="4">
        <v>0</v>
      </c>
      <c r="I17" s="5">
        <f>SUM(H17*H10)</f>
        <v>0</v>
      </c>
      <c r="J17" s="4">
        <v>0</v>
      </c>
      <c r="K17" s="5">
        <f>SUM(J17*J10)</f>
        <v>0</v>
      </c>
      <c r="L17" s="4">
        <v>0</v>
      </c>
      <c r="M17" s="5">
        <f>SUM(L17*L10)</f>
        <v>0</v>
      </c>
    </row>
    <row r="18" spans="1:13" s="2" customFormat="1" ht="12.75">
      <c r="A18" s="3">
        <v>43586</v>
      </c>
      <c r="B18" s="4">
        <v>94904</v>
      </c>
      <c r="C18" s="5">
        <f>SUM(B18*B10)</f>
        <v>355890</v>
      </c>
      <c r="D18" s="4">
        <v>0</v>
      </c>
      <c r="E18" s="5">
        <f>SUM(D18*D10)</f>
        <v>0</v>
      </c>
      <c r="F18" s="4">
        <v>0</v>
      </c>
      <c r="G18" s="5">
        <f>SUM(F18*F10)</f>
        <v>0</v>
      </c>
      <c r="H18" s="4">
        <v>0</v>
      </c>
      <c r="I18" s="5">
        <f>SUM(H18*H10)</f>
        <v>0</v>
      </c>
      <c r="J18" s="4">
        <v>0</v>
      </c>
      <c r="K18" s="5">
        <f>SUM(J18*J10)</f>
        <v>0</v>
      </c>
      <c r="L18" s="4">
        <v>0</v>
      </c>
      <c r="M18" s="5">
        <f>SUM(L18*L10)</f>
        <v>0</v>
      </c>
    </row>
    <row r="19" spans="1:13" s="2" customFormat="1" ht="12.75">
      <c r="A19" s="3">
        <v>43617</v>
      </c>
      <c r="B19" s="4">
        <v>100842</v>
      </c>
      <c r="C19" s="5">
        <f>SUM(B19*B10)</f>
        <v>378157.5</v>
      </c>
      <c r="D19" s="4">
        <v>0</v>
      </c>
      <c r="E19" s="5">
        <f>SUM(D19*D20)</f>
        <v>0</v>
      </c>
      <c r="F19" s="4">
        <v>0</v>
      </c>
      <c r="G19" s="5">
        <f>SUM(F19*F20)</f>
        <v>0</v>
      </c>
      <c r="H19" s="4">
        <v>0</v>
      </c>
      <c r="I19" s="5">
        <f>SUM(H19*H20)</f>
        <v>0</v>
      </c>
      <c r="J19" s="4">
        <v>0</v>
      </c>
      <c r="K19" s="5">
        <f>SUM(J19*J20)</f>
        <v>0</v>
      </c>
      <c r="L19" s="4">
        <v>0</v>
      </c>
      <c r="M19" s="5">
        <f>SUM(L19*L20)</f>
        <v>0</v>
      </c>
    </row>
    <row r="20" spans="1:13" s="2" customFormat="1" ht="12.75">
      <c r="A20" s="3">
        <v>43647</v>
      </c>
      <c r="B20" s="4">
        <v>106739</v>
      </c>
      <c r="C20" s="5">
        <f>SUM(B20*B10)</f>
        <v>400271.25</v>
      </c>
      <c r="D20" s="4">
        <v>0</v>
      </c>
      <c r="E20" s="5">
        <f>SUM(D20*D10)</f>
        <v>0</v>
      </c>
      <c r="F20" s="4">
        <v>0</v>
      </c>
      <c r="G20" s="5">
        <f>SUM(F20*F10)</f>
        <v>0</v>
      </c>
      <c r="H20" s="4">
        <v>0</v>
      </c>
      <c r="I20" s="5">
        <f>SUM(H20*H10)</f>
        <v>0</v>
      </c>
      <c r="J20" s="4">
        <v>0</v>
      </c>
      <c r="K20" s="5">
        <f>SUM(J20*J10)</f>
        <v>0</v>
      </c>
      <c r="L20" s="4">
        <v>0</v>
      </c>
      <c r="M20" s="5">
        <f>SUM(L20*L10)</f>
        <v>0</v>
      </c>
    </row>
    <row r="21" spans="1:13" s="2" customFormat="1" ht="12.75">
      <c r="A21" s="3">
        <v>43678</v>
      </c>
      <c r="B21" s="4">
        <v>105471</v>
      </c>
      <c r="C21" s="5">
        <f>SUM(B21*B10)</f>
        <v>395516.25</v>
      </c>
      <c r="D21" s="4">
        <v>0</v>
      </c>
      <c r="E21" s="5">
        <f>SUM(D21*D10)</f>
        <v>0</v>
      </c>
      <c r="F21" s="4">
        <v>0</v>
      </c>
      <c r="G21" s="5">
        <f>SUM(F21*F10)</f>
        <v>0</v>
      </c>
      <c r="H21" s="4">
        <v>0</v>
      </c>
      <c r="I21" s="5">
        <f>SUM(H21*H10)</f>
        <v>0</v>
      </c>
      <c r="J21" s="4">
        <v>0</v>
      </c>
      <c r="K21" s="5">
        <f>SUM(J21*J10)</f>
        <v>0</v>
      </c>
      <c r="L21" s="4">
        <v>0</v>
      </c>
      <c r="M21" s="5">
        <f>SUM(L21*L10)</f>
        <v>0</v>
      </c>
    </row>
    <row r="22" spans="1:13" s="2" customFormat="1" ht="12.75">
      <c r="A22" s="3">
        <v>43709</v>
      </c>
      <c r="B22" s="4">
        <v>98795</v>
      </c>
      <c r="C22" s="5">
        <f>SUM(B22*B10)</f>
        <v>370481.25</v>
      </c>
      <c r="D22" s="4">
        <v>0</v>
      </c>
      <c r="E22" s="5">
        <f>SUM(D22*D10)</f>
        <v>0</v>
      </c>
      <c r="F22" s="4">
        <v>0</v>
      </c>
      <c r="G22" s="5">
        <f>SUM(F22*F10)</f>
        <v>0</v>
      </c>
      <c r="H22" s="4">
        <v>0</v>
      </c>
      <c r="I22" s="5">
        <f>SUM(H22*H10)</f>
        <v>0</v>
      </c>
      <c r="J22" s="4">
        <v>0</v>
      </c>
      <c r="K22" s="5">
        <f>SUM(J22*J10)</f>
        <v>0</v>
      </c>
      <c r="L22" s="4">
        <v>0</v>
      </c>
      <c r="M22" s="5">
        <f>SUM(L22*L10)</f>
        <v>0</v>
      </c>
    </row>
    <row r="23" spans="1:13" s="2" customFormat="1" ht="13.5" thickBot="1">
      <c r="A23" s="13" t="s">
        <v>36</v>
      </c>
      <c r="B23" s="14">
        <f aca="true" t="shared" si="0" ref="B23:M23">SUM(B11:B22)</f>
        <v>1202740</v>
      </c>
      <c r="C23" s="15">
        <f t="shared" si="0"/>
        <v>4510275</v>
      </c>
      <c r="D23" s="14">
        <f t="shared" si="0"/>
        <v>0</v>
      </c>
      <c r="E23" s="15">
        <f t="shared" si="0"/>
        <v>0</v>
      </c>
      <c r="F23" s="17">
        <f t="shared" si="0"/>
        <v>0</v>
      </c>
      <c r="G23" s="15">
        <f t="shared" si="0"/>
        <v>0</v>
      </c>
      <c r="H23" s="17">
        <f t="shared" si="0"/>
        <v>0</v>
      </c>
      <c r="I23" s="15">
        <f t="shared" si="0"/>
        <v>0</v>
      </c>
      <c r="J23" s="17">
        <f t="shared" si="0"/>
        <v>0</v>
      </c>
      <c r="K23" s="15">
        <f t="shared" si="0"/>
        <v>0</v>
      </c>
      <c r="L23" s="17">
        <f t="shared" si="0"/>
        <v>0</v>
      </c>
      <c r="M23" s="15">
        <f t="shared" si="0"/>
        <v>0</v>
      </c>
    </row>
    <row r="24" spans="1:13" s="2" customFormat="1" ht="12.7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" customFormat="1" ht="12.75">
      <c r="A25" s="21" t="s">
        <v>1</v>
      </c>
      <c r="B25" s="22" t="s">
        <v>16</v>
      </c>
      <c r="C25" s="22" t="s">
        <v>17</v>
      </c>
      <c r="D25" s="22" t="s">
        <v>25</v>
      </c>
      <c r="E25" s="22" t="s">
        <v>26</v>
      </c>
      <c r="F25" s="22" t="s">
        <v>18</v>
      </c>
      <c r="G25" s="22" t="s">
        <v>19</v>
      </c>
      <c r="H25" s="22" t="s">
        <v>7</v>
      </c>
      <c r="I25" s="22" t="s">
        <v>28</v>
      </c>
      <c r="J25" s="22" t="s">
        <v>20</v>
      </c>
      <c r="K25" s="22" t="s">
        <v>21</v>
      </c>
      <c r="L25" s="22" t="s">
        <v>22</v>
      </c>
      <c r="M25" s="22" t="s">
        <v>22</v>
      </c>
    </row>
    <row r="26" spans="1:13" s="1" customFormat="1" ht="13.5" thickBot="1">
      <c r="A26" s="24" t="s">
        <v>8</v>
      </c>
      <c r="B26" s="25">
        <v>1</v>
      </c>
      <c r="C26" s="26" t="s">
        <v>15</v>
      </c>
      <c r="D26" s="25" t="s">
        <v>29</v>
      </c>
      <c r="E26" s="26" t="s">
        <v>15</v>
      </c>
      <c r="F26" s="25">
        <v>10</v>
      </c>
      <c r="G26" s="26" t="s">
        <v>15</v>
      </c>
      <c r="H26" s="25">
        <v>1</v>
      </c>
      <c r="I26" s="26" t="s">
        <v>15</v>
      </c>
      <c r="J26" s="26"/>
      <c r="K26" s="26" t="s">
        <v>15</v>
      </c>
      <c r="L26" s="26" t="s">
        <v>23</v>
      </c>
      <c r="M26" s="26" t="s">
        <v>9</v>
      </c>
    </row>
    <row r="27" spans="1:13" s="1" customFormat="1" ht="12.75">
      <c r="A27" s="3">
        <v>43374</v>
      </c>
      <c r="B27" s="4">
        <v>1904</v>
      </c>
      <c r="C27" s="7">
        <f>SUM(B27*B26)</f>
        <v>1904</v>
      </c>
      <c r="D27" s="4">
        <v>0</v>
      </c>
      <c r="E27" s="7">
        <v>0</v>
      </c>
      <c r="F27" s="4">
        <v>548</v>
      </c>
      <c r="G27" s="7">
        <f>F26*F27</f>
        <v>5480</v>
      </c>
      <c r="H27" s="4">
        <v>195924</v>
      </c>
      <c r="I27" s="7">
        <f>SUM(H27*H26)</f>
        <v>195924</v>
      </c>
      <c r="J27" s="4">
        <f>82+541</f>
        <v>623</v>
      </c>
      <c r="K27" s="7">
        <f>246+1893.5+3526.54</f>
        <v>5666.04</v>
      </c>
      <c r="L27" s="6">
        <f aca="true" t="shared" si="1" ref="L27:M38">B11+D11+F11+H11+J11+L11+B27+D27+F27+H27+J27</f>
        <v>301954</v>
      </c>
      <c r="M27" s="8">
        <f t="shared" si="1"/>
        <v>595055.29</v>
      </c>
    </row>
    <row r="28" spans="1:13" s="1" customFormat="1" ht="12.75">
      <c r="A28" s="3">
        <v>43405</v>
      </c>
      <c r="B28" s="4">
        <v>1558</v>
      </c>
      <c r="C28" s="7">
        <f>SUM(B28*B26)</f>
        <v>1558</v>
      </c>
      <c r="D28" s="4">
        <v>0</v>
      </c>
      <c r="E28" s="7">
        <v>0</v>
      </c>
      <c r="F28" s="4">
        <v>538</v>
      </c>
      <c r="G28" s="7">
        <f>F26*F28</f>
        <v>5380</v>
      </c>
      <c r="H28" s="4">
        <v>188736</v>
      </c>
      <c r="I28" s="7">
        <f>SUM(H28*H26)</f>
        <v>188736</v>
      </c>
      <c r="J28" s="4">
        <f>136+535</f>
        <v>671</v>
      </c>
      <c r="K28" s="7">
        <f>408+1872.5+3599.82</f>
        <v>5880.32</v>
      </c>
      <c r="L28" s="6">
        <f t="shared" si="1"/>
        <v>295422</v>
      </c>
      <c r="M28" s="8">
        <f t="shared" si="1"/>
        <v>591250.57</v>
      </c>
    </row>
    <row r="29" spans="1:13" s="1" customFormat="1" ht="12.75">
      <c r="A29" s="3">
        <v>43435</v>
      </c>
      <c r="B29" s="4">
        <v>1574</v>
      </c>
      <c r="C29" s="7">
        <f>SUM(B29*B26)</f>
        <v>1574</v>
      </c>
      <c r="D29" s="4">
        <v>0</v>
      </c>
      <c r="E29" s="7">
        <v>0</v>
      </c>
      <c r="F29" s="4">
        <v>571</v>
      </c>
      <c r="G29" s="7">
        <f>F26*F29</f>
        <v>5710</v>
      </c>
      <c r="H29" s="4">
        <v>205980</v>
      </c>
      <c r="I29" s="7">
        <f>SUM(H29*H26)</f>
        <v>205980</v>
      </c>
      <c r="J29" s="4">
        <f>341+569</f>
        <v>910</v>
      </c>
      <c r="K29" s="7">
        <f>1023+1991.5+4168.83</f>
        <v>7183.33</v>
      </c>
      <c r="L29" s="6">
        <f t="shared" si="1"/>
        <v>325245</v>
      </c>
      <c r="M29" s="8">
        <f t="shared" si="1"/>
        <v>656234.83</v>
      </c>
    </row>
    <row r="30" spans="1:13" s="1" customFormat="1" ht="12.75">
      <c r="A30" s="3">
        <v>43466</v>
      </c>
      <c r="B30" s="4">
        <v>1585</v>
      </c>
      <c r="C30" s="7">
        <f>SUM(B30*B26)</f>
        <v>1585</v>
      </c>
      <c r="D30" s="4">
        <v>0</v>
      </c>
      <c r="E30" s="7">
        <v>0</v>
      </c>
      <c r="F30" s="4">
        <v>551</v>
      </c>
      <c r="G30" s="7">
        <f>F26*F30</f>
        <v>5510</v>
      </c>
      <c r="H30" s="4">
        <v>181699</v>
      </c>
      <c r="I30" s="7">
        <f>SUM(H30*H26)</f>
        <v>181699</v>
      </c>
      <c r="J30" s="4">
        <f>93+546</f>
        <v>639</v>
      </c>
      <c r="K30" s="7">
        <f>279+1911+3161.69</f>
        <v>5351.6900000000005</v>
      </c>
      <c r="L30" s="6">
        <f t="shared" si="1"/>
        <v>286393</v>
      </c>
      <c r="M30" s="8">
        <f t="shared" si="1"/>
        <v>576341.94</v>
      </c>
    </row>
    <row r="31" spans="1:13" s="1" customFormat="1" ht="12.75">
      <c r="A31" s="3">
        <v>43497</v>
      </c>
      <c r="B31" s="4">
        <v>1631</v>
      </c>
      <c r="C31" s="7">
        <f>SUM(B31*B26)</f>
        <v>1631</v>
      </c>
      <c r="D31" s="4">
        <v>0</v>
      </c>
      <c r="E31" s="7">
        <v>0</v>
      </c>
      <c r="F31" s="4">
        <v>485</v>
      </c>
      <c r="G31" s="7">
        <f>F26*F31</f>
        <v>4850</v>
      </c>
      <c r="H31" s="4">
        <v>178903</v>
      </c>
      <c r="I31" s="7">
        <f>SUM(H31*H26)</f>
        <v>178903</v>
      </c>
      <c r="J31" s="4">
        <v>583</v>
      </c>
      <c r="K31" s="7">
        <f>300+1690.5+2941.03</f>
        <v>4931.530000000001</v>
      </c>
      <c r="L31" s="6">
        <f t="shared" si="1"/>
        <v>271586</v>
      </c>
      <c r="M31" s="8">
        <f t="shared" si="1"/>
        <v>527755.53</v>
      </c>
    </row>
    <row r="32" spans="1:13" s="1" customFormat="1" ht="12.75">
      <c r="A32" s="3">
        <v>43525</v>
      </c>
      <c r="B32" s="4">
        <v>1632</v>
      </c>
      <c r="C32" s="7">
        <f>SUM(B32*B26)</f>
        <v>1632</v>
      </c>
      <c r="D32" s="4">
        <v>0</v>
      </c>
      <c r="E32" s="7">
        <v>0</v>
      </c>
      <c r="F32" s="4">
        <v>558</v>
      </c>
      <c r="G32" s="7">
        <f>F26*F32</f>
        <v>5580</v>
      </c>
      <c r="H32" s="4">
        <v>196646</v>
      </c>
      <c r="I32" s="7">
        <f>SUM(H32*H26)</f>
        <v>196646</v>
      </c>
      <c r="J32" s="4">
        <f>111+550</f>
        <v>661</v>
      </c>
      <c r="K32" s="7">
        <f>333+1925+3209</f>
        <v>5467</v>
      </c>
      <c r="L32" s="6">
        <f t="shared" si="1"/>
        <v>302343</v>
      </c>
      <c r="M32" s="8">
        <f t="shared" si="1"/>
        <v>594997.5</v>
      </c>
    </row>
    <row r="33" spans="1:13" s="1" customFormat="1" ht="12.75">
      <c r="A33" s="3">
        <v>43556</v>
      </c>
      <c r="B33" s="4">
        <v>2670</v>
      </c>
      <c r="C33" s="7">
        <f>SUM(B33*B26)</f>
        <v>2670</v>
      </c>
      <c r="D33" s="4">
        <v>0</v>
      </c>
      <c r="E33" s="7">
        <v>0</v>
      </c>
      <c r="F33" s="4">
        <v>515</v>
      </c>
      <c r="G33" s="7">
        <f>F26*F33</f>
        <v>5150</v>
      </c>
      <c r="H33" s="4">
        <v>205660</v>
      </c>
      <c r="I33" s="7">
        <f>SUM(H33*H26)</f>
        <v>205660</v>
      </c>
      <c r="J33" s="4">
        <f>123+509</f>
        <v>632</v>
      </c>
      <c r="K33" s="7">
        <f>369+1781.5+3072.95</f>
        <v>5223.45</v>
      </c>
      <c r="L33" s="6">
        <f t="shared" si="1"/>
        <v>287633</v>
      </c>
      <c r="M33" s="8">
        <f t="shared" si="1"/>
        <v>511788.45</v>
      </c>
    </row>
    <row r="34" spans="1:13" s="1" customFormat="1" ht="12.75">
      <c r="A34" s="3">
        <v>43586</v>
      </c>
      <c r="B34" s="4">
        <v>3713</v>
      </c>
      <c r="C34" s="7">
        <f>SUM(B34*B26)</f>
        <v>3713</v>
      </c>
      <c r="D34" s="4">
        <v>0</v>
      </c>
      <c r="E34" s="7">
        <v>0</v>
      </c>
      <c r="F34" s="4">
        <v>514</v>
      </c>
      <c r="G34" s="7">
        <f>F26*F34</f>
        <v>5140</v>
      </c>
      <c r="H34" s="4">
        <v>202283</v>
      </c>
      <c r="I34" s="7">
        <f>SUM(H34*H26)</f>
        <v>202283</v>
      </c>
      <c r="J34" s="4">
        <f>111+510</f>
        <v>621</v>
      </c>
      <c r="K34" s="7">
        <f>333+1785+3367.2</f>
        <v>5485.2</v>
      </c>
      <c r="L34" s="6">
        <f t="shared" si="1"/>
        <v>302035</v>
      </c>
      <c r="M34" s="8">
        <f t="shared" si="1"/>
        <v>572511.2</v>
      </c>
    </row>
    <row r="35" spans="1:13" s="1" customFormat="1" ht="12.75">
      <c r="A35" s="3">
        <v>43617</v>
      </c>
      <c r="B35" s="4">
        <v>3022</v>
      </c>
      <c r="C35" s="7">
        <f>SUM(B35*B26)</f>
        <v>3022</v>
      </c>
      <c r="D35" s="4">
        <v>0</v>
      </c>
      <c r="E35" s="7">
        <v>0</v>
      </c>
      <c r="F35" s="4">
        <v>521</v>
      </c>
      <c r="G35" s="7">
        <f>F26*F35</f>
        <v>5210</v>
      </c>
      <c r="H35" s="4">
        <v>182817</v>
      </c>
      <c r="I35" s="7">
        <f>SUM(H35*H26)</f>
        <v>182817</v>
      </c>
      <c r="J35" s="4">
        <f>144+514</f>
        <v>658</v>
      </c>
      <c r="K35" s="7">
        <f>432+1799+3252.84</f>
        <v>5483.84</v>
      </c>
      <c r="L35" s="6">
        <f t="shared" si="1"/>
        <v>287860</v>
      </c>
      <c r="M35" s="8">
        <f t="shared" si="1"/>
        <v>574690.34</v>
      </c>
    </row>
    <row r="36" spans="1:13" s="1" customFormat="1" ht="12.75">
      <c r="A36" s="3">
        <v>43647</v>
      </c>
      <c r="B36" s="4">
        <v>3320</v>
      </c>
      <c r="C36" s="7">
        <f>SUM(B36*B26)</f>
        <v>3320</v>
      </c>
      <c r="D36" s="4">
        <v>0</v>
      </c>
      <c r="E36" s="7">
        <v>0</v>
      </c>
      <c r="F36" s="4">
        <v>529</v>
      </c>
      <c r="G36" s="7">
        <f>F26*F36</f>
        <v>5290</v>
      </c>
      <c r="H36" s="4">
        <v>185027</v>
      </c>
      <c r="I36" s="7">
        <f>SUM(H36*H26)</f>
        <v>185027</v>
      </c>
      <c r="J36" s="4">
        <f>175+519</f>
        <v>694</v>
      </c>
      <c r="K36" s="7">
        <f>525+1816.5+3342.53</f>
        <v>5684.030000000001</v>
      </c>
      <c r="L36" s="6">
        <f t="shared" si="1"/>
        <v>296309</v>
      </c>
      <c r="M36" s="8">
        <f t="shared" si="1"/>
        <v>599592.28</v>
      </c>
    </row>
    <row r="37" spans="1:13" s="1" customFormat="1" ht="12.75">
      <c r="A37" s="3">
        <v>43678</v>
      </c>
      <c r="B37" s="4">
        <v>3930</v>
      </c>
      <c r="C37" s="7">
        <f>SUM(B37*B26)</f>
        <v>3930</v>
      </c>
      <c r="D37" s="4">
        <v>0</v>
      </c>
      <c r="E37" s="7">
        <v>0</v>
      </c>
      <c r="F37" s="4">
        <v>545</v>
      </c>
      <c r="G37" s="7">
        <f>F26*F37</f>
        <v>5450</v>
      </c>
      <c r="H37" s="4">
        <v>196865</v>
      </c>
      <c r="I37" s="7">
        <f>SUM(H37*H26)</f>
        <v>196865</v>
      </c>
      <c r="J37" s="4">
        <f>102+542</f>
        <v>644</v>
      </c>
      <c r="K37" s="7">
        <f>306+1897+3496.29</f>
        <v>5699.29</v>
      </c>
      <c r="L37" s="6">
        <f t="shared" si="1"/>
        <v>307455</v>
      </c>
      <c r="M37" s="8">
        <f t="shared" si="1"/>
        <v>607460.54</v>
      </c>
    </row>
    <row r="38" spans="1:13" s="1" customFormat="1" ht="12.75">
      <c r="A38" s="3">
        <v>43709</v>
      </c>
      <c r="B38" s="4">
        <v>3837</v>
      </c>
      <c r="C38" s="7">
        <f>SUM(B38*B26)</f>
        <v>3837</v>
      </c>
      <c r="D38" s="4">
        <v>0</v>
      </c>
      <c r="E38" s="7">
        <v>0</v>
      </c>
      <c r="F38" s="4">
        <v>519</v>
      </c>
      <c r="G38" s="7">
        <f>F38*F26</f>
        <v>5190</v>
      </c>
      <c r="H38" s="4">
        <v>190940</v>
      </c>
      <c r="I38" s="7">
        <f>SUM(H38*H26)</f>
        <v>190940</v>
      </c>
      <c r="J38" s="4">
        <f>109+512</f>
        <v>621</v>
      </c>
      <c r="K38" s="7">
        <f>327+1792+2997.53</f>
        <v>5116.530000000001</v>
      </c>
      <c r="L38" s="6">
        <f t="shared" si="1"/>
        <v>294712</v>
      </c>
      <c r="M38" s="8">
        <f t="shared" si="1"/>
        <v>575564.78</v>
      </c>
    </row>
    <row r="39" spans="1:13" s="1" customFormat="1" ht="13.5" thickBot="1">
      <c r="A39" s="13" t="s">
        <v>36</v>
      </c>
      <c r="B39" s="14">
        <f aca="true" t="shared" si="2" ref="B39:M39">SUM(B27:B38)</f>
        <v>30376</v>
      </c>
      <c r="C39" s="16">
        <f t="shared" si="2"/>
        <v>30376</v>
      </c>
      <c r="D39" s="17">
        <f t="shared" si="2"/>
        <v>0</v>
      </c>
      <c r="E39" s="16">
        <f t="shared" si="2"/>
        <v>0</v>
      </c>
      <c r="F39" s="14">
        <f t="shared" si="2"/>
        <v>6394</v>
      </c>
      <c r="G39" s="16">
        <f t="shared" si="2"/>
        <v>63940</v>
      </c>
      <c r="H39" s="14">
        <f t="shared" si="2"/>
        <v>2311480</v>
      </c>
      <c r="I39" s="16">
        <f t="shared" si="2"/>
        <v>2311480</v>
      </c>
      <c r="J39" s="14">
        <f t="shared" si="2"/>
        <v>7957</v>
      </c>
      <c r="K39" s="16">
        <f t="shared" si="2"/>
        <v>67172.25</v>
      </c>
      <c r="L39" s="18">
        <f t="shared" si="2"/>
        <v>3558947</v>
      </c>
      <c r="M39" s="19">
        <f t="shared" si="2"/>
        <v>6983243.250000001</v>
      </c>
    </row>
    <row r="40" spans="1:13" s="1" customFormat="1" ht="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" customFormat="1" ht="1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s="1" customFormat="1" ht="12">
      <c r="A42" s="2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1" customFormat="1" ht="15.75">
      <c r="A43" s="11" t="s">
        <v>24</v>
      </c>
      <c r="B43" s="9"/>
      <c r="C43" s="9"/>
      <c r="D43" s="9"/>
      <c r="F43" s="9"/>
      <c r="G43" s="9"/>
      <c r="H43" s="9"/>
      <c r="I43" s="9"/>
      <c r="J43" s="9"/>
      <c r="K43" s="9"/>
      <c r="L43" s="9"/>
      <c r="M43" s="9"/>
    </row>
    <row r="44" spans="1:13" s="1" customFormat="1" ht="17.25" customHeight="1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s="1" customFormat="1" ht="17.25" customHeight="1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s="1" customFormat="1" ht="17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="1" customFormat="1" ht="17.25" customHeight="1"/>
    <row r="48" s="1" customFormat="1" ht="17.25" customHeight="1"/>
    <row r="49" spans="1:13" s="1" customFormat="1" ht="13.5" customHeight="1">
      <c r="A49" s="11" t="s">
        <v>35</v>
      </c>
      <c r="B49" s="10"/>
      <c r="C49" s="10"/>
      <c r="D49" s="10"/>
      <c r="E49" s="12"/>
      <c r="F49" s="10"/>
      <c r="G49" s="10"/>
      <c r="H49" s="10"/>
      <c r="I49" s="10"/>
      <c r="J49" s="9"/>
      <c r="K49" s="9"/>
      <c r="L49" s="10"/>
      <c r="M49" s="10"/>
    </row>
    <row r="50" spans="1:13" s="1" customFormat="1" ht="13.5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s="1" customFormat="1" ht="12.75">
      <c r="A51" s="21" t="s">
        <v>1</v>
      </c>
      <c r="B51" s="22" t="s">
        <v>31</v>
      </c>
      <c r="C51" s="22" t="s">
        <v>27</v>
      </c>
      <c r="D51" s="22" t="s">
        <v>2</v>
      </c>
      <c r="E51" s="22" t="s">
        <v>10</v>
      </c>
      <c r="F51" s="22" t="s">
        <v>3</v>
      </c>
      <c r="G51" s="23" t="s">
        <v>11</v>
      </c>
      <c r="H51" s="22" t="s">
        <v>4</v>
      </c>
      <c r="I51" s="23" t="s">
        <v>12</v>
      </c>
      <c r="J51" s="22" t="s">
        <v>5</v>
      </c>
      <c r="K51" s="23" t="s">
        <v>13</v>
      </c>
      <c r="L51" s="21" t="s">
        <v>6</v>
      </c>
      <c r="M51" s="22" t="s">
        <v>14</v>
      </c>
    </row>
    <row r="52" spans="1:13" s="2" customFormat="1" ht="13.5" thickBot="1">
      <c r="A52" s="24" t="s">
        <v>8</v>
      </c>
      <c r="B52" s="25">
        <v>3.75</v>
      </c>
      <c r="C52" s="26" t="s">
        <v>15</v>
      </c>
      <c r="D52" s="25">
        <v>11</v>
      </c>
      <c r="E52" s="26" t="s">
        <v>15</v>
      </c>
      <c r="F52" s="25">
        <v>15</v>
      </c>
      <c r="G52" s="27" t="s">
        <v>15</v>
      </c>
      <c r="H52" s="25">
        <v>17.25</v>
      </c>
      <c r="I52" s="27" t="s">
        <v>15</v>
      </c>
      <c r="J52" s="25">
        <v>22</v>
      </c>
      <c r="K52" s="27" t="s">
        <v>15</v>
      </c>
      <c r="L52" s="28">
        <v>25</v>
      </c>
      <c r="M52" s="26" t="s">
        <v>15</v>
      </c>
    </row>
    <row r="53" spans="1:13" s="2" customFormat="1" ht="12.75">
      <c r="A53" s="3">
        <v>43374</v>
      </c>
      <c r="B53" s="4">
        <v>32058</v>
      </c>
      <c r="C53" s="5">
        <f>SUM(B53*B52)</f>
        <v>120217.5</v>
      </c>
      <c r="D53" s="4">
        <v>138</v>
      </c>
      <c r="E53" s="5">
        <f>SUM(D53*D52)</f>
        <v>1518</v>
      </c>
      <c r="F53" s="4">
        <v>229</v>
      </c>
      <c r="G53" s="5">
        <f>SUM(F53*F52)</f>
        <v>3435</v>
      </c>
      <c r="H53" s="4">
        <v>36</v>
      </c>
      <c r="I53" s="5">
        <f>SUM(H53*H52)</f>
        <v>621</v>
      </c>
      <c r="J53" s="4">
        <v>1537</v>
      </c>
      <c r="K53" s="5">
        <f>SUM(J53*J52)</f>
        <v>33814</v>
      </c>
      <c r="L53" s="4">
        <v>45</v>
      </c>
      <c r="M53" s="5">
        <f>SUM(L53*L52)</f>
        <v>1125</v>
      </c>
    </row>
    <row r="54" spans="1:13" s="2" customFormat="1" ht="12.75">
      <c r="A54" s="3">
        <v>43405</v>
      </c>
      <c r="B54" s="4">
        <v>32269</v>
      </c>
      <c r="C54" s="5">
        <f>SUM(B54*B52)</f>
        <v>121008.75</v>
      </c>
      <c r="D54" s="4">
        <v>129</v>
      </c>
      <c r="E54" s="5">
        <f>SUM(D54*D52)</f>
        <v>1419</v>
      </c>
      <c r="F54" s="4">
        <v>292</v>
      </c>
      <c r="G54" s="5">
        <f>SUM(F54*F52)</f>
        <v>4380</v>
      </c>
      <c r="H54" s="4">
        <v>11</v>
      </c>
      <c r="I54" s="5">
        <f>SUM(H54*H52)</f>
        <v>189.75</v>
      </c>
      <c r="J54" s="4">
        <v>1284</v>
      </c>
      <c r="K54" s="5">
        <f>SUM(J54*J52)</f>
        <v>28248</v>
      </c>
      <c r="L54" s="4">
        <v>65</v>
      </c>
      <c r="M54" s="5">
        <f>SUM(L54*L52)</f>
        <v>1625</v>
      </c>
    </row>
    <row r="55" spans="1:13" s="2" customFormat="1" ht="12.75">
      <c r="A55" s="3">
        <v>43435</v>
      </c>
      <c r="B55" s="4">
        <v>37731</v>
      </c>
      <c r="C55" s="5">
        <f>SUM(B55*B52)</f>
        <v>141491.25</v>
      </c>
      <c r="D55" s="4">
        <v>95</v>
      </c>
      <c r="E55" s="5">
        <f>SUM(D55*D52)</f>
        <v>1045</v>
      </c>
      <c r="F55" s="4">
        <v>191</v>
      </c>
      <c r="G55" s="5">
        <f>SUM(F55*F52)</f>
        <v>2865</v>
      </c>
      <c r="H55" s="4">
        <v>8</v>
      </c>
      <c r="I55" s="5">
        <f>SUM(H55*H52)</f>
        <v>138</v>
      </c>
      <c r="J55" s="4">
        <v>1209</v>
      </c>
      <c r="K55" s="5">
        <f>SUM(J55*J52)</f>
        <v>26598</v>
      </c>
      <c r="L55" s="4">
        <v>70</v>
      </c>
      <c r="M55" s="5">
        <f>SUM(L55*L52)</f>
        <v>1750</v>
      </c>
    </row>
    <row r="56" spans="1:13" s="2" customFormat="1" ht="12.75">
      <c r="A56" s="3">
        <v>43466</v>
      </c>
      <c r="B56" s="4">
        <v>32319</v>
      </c>
      <c r="C56" s="5">
        <f>SUM(B56*B52)</f>
        <v>121196.25</v>
      </c>
      <c r="D56" s="4">
        <v>108</v>
      </c>
      <c r="E56" s="5">
        <f>SUM(D56*D52)</f>
        <v>1188</v>
      </c>
      <c r="F56" s="4">
        <v>302</v>
      </c>
      <c r="G56" s="5">
        <f>SUM(F56*F52)</f>
        <v>4530</v>
      </c>
      <c r="H56" s="4">
        <v>3</v>
      </c>
      <c r="I56" s="5">
        <f>SUM(H56*H52)</f>
        <v>51.75</v>
      </c>
      <c r="J56" s="4">
        <v>1699</v>
      </c>
      <c r="K56" s="5">
        <f>SUM(J56*J52)</f>
        <v>37378</v>
      </c>
      <c r="L56" s="4">
        <v>51</v>
      </c>
      <c r="M56" s="5">
        <f>SUM(L56*L52)</f>
        <v>1275</v>
      </c>
    </row>
    <row r="57" spans="1:13" s="2" customFormat="1" ht="12.75">
      <c r="A57" s="3">
        <v>43497</v>
      </c>
      <c r="B57" s="4">
        <v>30823</v>
      </c>
      <c r="C57" s="5">
        <f>SUM(B57*B52)</f>
        <v>115586.25</v>
      </c>
      <c r="D57" s="4">
        <v>100</v>
      </c>
      <c r="E57" s="5">
        <f>SUM(D57*D52)</f>
        <v>1100</v>
      </c>
      <c r="F57" s="4">
        <v>327</v>
      </c>
      <c r="G57" s="5">
        <f>SUM(F57*F52)</f>
        <v>4905</v>
      </c>
      <c r="H57" s="4">
        <v>3</v>
      </c>
      <c r="I57" s="5">
        <f>SUM(H57*H52)</f>
        <v>51.75</v>
      </c>
      <c r="J57" s="4">
        <v>1538</v>
      </c>
      <c r="K57" s="5">
        <f>SUM(J57*J52)</f>
        <v>33836</v>
      </c>
      <c r="L57" s="4">
        <v>62</v>
      </c>
      <c r="M57" s="5">
        <f>SUM(L57*L52)</f>
        <v>1550</v>
      </c>
    </row>
    <row r="58" spans="1:13" s="2" customFormat="1" ht="12.75">
      <c r="A58" s="3">
        <v>43525</v>
      </c>
      <c r="B58" s="4">
        <v>35211</v>
      </c>
      <c r="C58" s="5">
        <f>SUM(B58*B52)</f>
        <v>132041.25</v>
      </c>
      <c r="D58" s="4">
        <v>123</v>
      </c>
      <c r="E58" s="5">
        <f>SUM(D58*D52)</f>
        <v>1353</v>
      </c>
      <c r="F58" s="4">
        <v>304</v>
      </c>
      <c r="G58" s="5">
        <f>SUM(F58*F52)</f>
        <v>4560</v>
      </c>
      <c r="H58" s="4">
        <v>6</v>
      </c>
      <c r="I58" s="5">
        <f>SUM(H58*H52)</f>
        <v>103.5</v>
      </c>
      <c r="J58" s="4">
        <v>1424</v>
      </c>
      <c r="K58" s="5">
        <f>SUM(J58*J52)</f>
        <v>31328</v>
      </c>
      <c r="L58" s="4">
        <v>18</v>
      </c>
      <c r="M58" s="5">
        <f>SUM(L58*L52)</f>
        <v>450</v>
      </c>
    </row>
    <row r="59" spans="1:13" s="2" customFormat="1" ht="12.75">
      <c r="A59" s="3">
        <v>43556</v>
      </c>
      <c r="B59" s="4">
        <v>26424</v>
      </c>
      <c r="C59" s="5">
        <f>SUM(B59*B52)</f>
        <v>99090</v>
      </c>
      <c r="D59" s="4">
        <v>105</v>
      </c>
      <c r="E59" s="5">
        <f>SUM(D59*D52)</f>
        <v>1155</v>
      </c>
      <c r="F59" s="4">
        <v>349</v>
      </c>
      <c r="G59" s="5">
        <f>SUM(F59*F52)</f>
        <v>5235</v>
      </c>
      <c r="H59" s="4">
        <v>11</v>
      </c>
      <c r="I59" s="5">
        <f>SUM(H59*H52)</f>
        <v>189.75</v>
      </c>
      <c r="J59" s="4">
        <v>995</v>
      </c>
      <c r="K59" s="5">
        <f>SUM(J59*J52)</f>
        <v>21890</v>
      </c>
      <c r="L59" s="4">
        <v>23</v>
      </c>
      <c r="M59" s="5">
        <f>SUM(L59*L52)</f>
        <v>575</v>
      </c>
    </row>
    <row r="60" spans="1:13" s="2" customFormat="1" ht="12.75">
      <c r="A60" s="3">
        <v>43586</v>
      </c>
      <c r="B60" s="4">
        <v>32561</v>
      </c>
      <c r="C60" s="5">
        <f>SUM(B60*B52)</f>
        <v>122103.75</v>
      </c>
      <c r="D60" s="4">
        <v>110</v>
      </c>
      <c r="E60" s="5">
        <f>SUM(D60*D52)</f>
        <v>1210</v>
      </c>
      <c r="F60" s="4">
        <v>499</v>
      </c>
      <c r="G60" s="5">
        <f>SUM(F60*F52)</f>
        <v>7485</v>
      </c>
      <c r="H60" s="4">
        <v>6</v>
      </c>
      <c r="I60" s="5">
        <f>SUM(H60*H52)</f>
        <v>103.5</v>
      </c>
      <c r="J60" s="4">
        <v>1067</v>
      </c>
      <c r="K60" s="5">
        <f>SUM(J60*J52)</f>
        <v>23474</v>
      </c>
      <c r="L60" s="4">
        <v>44</v>
      </c>
      <c r="M60" s="5">
        <f>SUM(L60*L52)</f>
        <v>1100</v>
      </c>
    </row>
    <row r="61" spans="1:13" s="2" customFormat="1" ht="12.75">
      <c r="A61" s="3">
        <v>43617</v>
      </c>
      <c r="B61" s="4">
        <v>33334</v>
      </c>
      <c r="C61" s="5">
        <f>SUM(B61*B52)</f>
        <v>125002.5</v>
      </c>
      <c r="D61" s="4">
        <v>108</v>
      </c>
      <c r="E61" s="5">
        <f>SUM(D61*D52)</f>
        <v>1188</v>
      </c>
      <c r="F61" s="4">
        <v>711</v>
      </c>
      <c r="G61" s="5">
        <f>SUM(F61*F52)</f>
        <v>10665</v>
      </c>
      <c r="H61" s="4">
        <v>5</v>
      </c>
      <c r="I61" s="5">
        <f>SUM(H61*H52)</f>
        <v>86.25</v>
      </c>
      <c r="J61" s="4">
        <v>1306</v>
      </c>
      <c r="K61" s="5">
        <f>SUM(J61*J52)</f>
        <v>28732</v>
      </c>
      <c r="L61" s="4">
        <v>18</v>
      </c>
      <c r="M61" s="5">
        <f>SUM(L61*L52)</f>
        <v>450</v>
      </c>
    </row>
    <row r="62" spans="1:13" s="2" customFormat="1" ht="12.75">
      <c r="A62" s="3">
        <v>43647</v>
      </c>
      <c r="B62" s="4">
        <v>34790</v>
      </c>
      <c r="C62" s="5">
        <f>SUM(B62*B52)</f>
        <v>130462.5</v>
      </c>
      <c r="D62" s="4">
        <v>115</v>
      </c>
      <c r="E62" s="5">
        <f>SUM(D62*D52)</f>
        <v>1265</v>
      </c>
      <c r="F62" s="4">
        <v>898</v>
      </c>
      <c r="G62" s="5">
        <f>SUM(F62*F52)</f>
        <v>13470</v>
      </c>
      <c r="H62" s="4">
        <v>2</v>
      </c>
      <c r="I62" s="5">
        <f>SUM(H62*H52)</f>
        <v>34.5</v>
      </c>
      <c r="J62" s="4">
        <v>1314</v>
      </c>
      <c r="K62" s="5">
        <f>SUM(J62*J52)</f>
        <v>28908</v>
      </c>
      <c r="L62" s="4">
        <v>18</v>
      </c>
      <c r="M62" s="5">
        <f>SUM(L62*L52)</f>
        <v>450</v>
      </c>
    </row>
    <row r="63" spans="1:13" s="2" customFormat="1" ht="12.75">
      <c r="A63" s="3">
        <v>43678</v>
      </c>
      <c r="B63" s="4">
        <v>34222</v>
      </c>
      <c r="C63" s="5">
        <f>SUM(B63*B52)</f>
        <v>128332.5</v>
      </c>
      <c r="D63" s="4">
        <v>133</v>
      </c>
      <c r="E63" s="5">
        <f>SUM(D63*D52)</f>
        <v>1463</v>
      </c>
      <c r="F63" s="4">
        <v>931</v>
      </c>
      <c r="G63" s="5">
        <f>SUM(F63*F52)</f>
        <v>13965</v>
      </c>
      <c r="H63" s="4">
        <v>17</v>
      </c>
      <c r="I63" s="5">
        <f>SUM(H63*H52)</f>
        <v>293.25</v>
      </c>
      <c r="J63" s="4">
        <v>1192</v>
      </c>
      <c r="K63" s="5">
        <f>SUM(J63*J52)</f>
        <v>26224</v>
      </c>
      <c r="L63" s="4">
        <v>32</v>
      </c>
      <c r="M63" s="5">
        <f>SUM(L63*L52)</f>
        <v>800</v>
      </c>
    </row>
    <row r="64" spans="1:13" s="2" customFormat="1" ht="12.75">
      <c r="A64" s="3">
        <v>43709</v>
      </c>
      <c r="B64" s="4">
        <v>30410</v>
      </c>
      <c r="C64" s="5">
        <f>B64*B52</f>
        <v>114037.5</v>
      </c>
      <c r="D64" s="4">
        <v>96</v>
      </c>
      <c r="E64" s="5">
        <f>SUM(D64*D52)</f>
        <v>1056</v>
      </c>
      <c r="F64" s="4">
        <v>778</v>
      </c>
      <c r="G64" s="5">
        <f>SUM(F64*F52)</f>
        <v>11670</v>
      </c>
      <c r="H64" s="4">
        <v>8</v>
      </c>
      <c r="I64" s="5">
        <f>H64*H52</f>
        <v>138</v>
      </c>
      <c r="J64" s="4">
        <v>989</v>
      </c>
      <c r="K64" s="5">
        <f>SUM(J64*J52)</f>
        <v>21758</v>
      </c>
      <c r="L64" s="4">
        <v>26</v>
      </c>
      <c r="M64" s="5">
        <f>SUM(L64*L52)</f>
        <v>650</v>
      </c>
    </row>
    <row r="65" spans="1:13" s="2" customFormat="1" ht="13.5" thickBot="1">
      <c r="A65" s="13" t="s">
        <v>36</v>
      </c>
      <c r="B65" s="14">
        <f aca="true" t="shared" si="3" ref="B65:M65">SUM(B53:B64)</f>
        <v>392152</v>
      </c>
      <c r="C65" s="15">
        <f t="shared" si="3"/>
        <v>1470570</v>
      </c>
      <c r="D65" s="14">
        <f t="shared" si="3"/>
        <v>1360</v>
      </c>
      <c r="E65" s="15">
        <f t="shared" si="3"/>
        <v>14960</v>
      </c>
      <c r="F65" s="14">
        <f t="shared" si="3"/>
        <v>5811</v>
      </c>
      <c r="G65" s="15">
        <f t="shared" si="3"/>
        <v>87165</v>
      </c>
      <c r="H65" s="17">
        <f t="shared" si="3"/>
        <v>116</v>
      </c>
      <c r="I65" s="15">
        <f t="shared" si="3"/>
        <v>2001</v>
      </c>
      <c r="J65" s="14">
        <f t="shared" si="3"/>
        <v>15554</v>
      </c>
      <c r="K65" s="15">
        <f t="shared" si="3"/>
        <v>342188</v>
      </c>
      <c r="L65" s="17">
        <f t="shared" si="3"/>
        <v>472</v>
      </c>
      <c r="M65" s="15">
        <f t="shared" si="3"/>
        <v>11800</v>
      </c>
    </row>
    <row r="66" spans="1:13" s="2" customFormat="1" ht="12.75" thickBo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1" customFormat="1" ht="12.75">
      <c r="A67" s="21" t="s">
        <v>1</v>
      </c>
      <c r="B67" s="22" t="s">
        <v>16</v>
      </c>
      <c r="C67" s="22" t="s">
        <v>17</v>
      </c>
      <c r="D67" s="22" t="s">
        <v>25</v>
      </c>
      <c r="E67" s="22" t="s">
        <v>26</v>
      </c>
      <c r="F67" s="22" t="s">
        <v>18</v>
      </c>
      <c r="G67" s="22" t="s">
        <v>19</v>
      </c>
      <c r="H67" s="22" t="s">
        <v>7</v>
      </c>
      <c r="I67" s="22" t="s">
        <v>28</v>
      </c>
      <c r="J67" s="22" t="s">
        <v>20</v>
      </c>
      <c r="K67" s="22" t="s">
        <v>21</v>
      </c>
      <c r="L67" s="22" t="s">
        <v>22</v>
      </c>
      <c r="M67" s="22" t="s">
        <v>22</v>
      </c>
    </row>
    <row r="68" spans="1:13" s="1" customFormat="1" ht="13.5" thickBot="1">
      <c r="A68" s="24" t="s">
        <v>8</v>
      </c>
      <c r="B68" s="25">
        <v>1</v>
      </c>
      <c r="C68" s="26" t="s">
        <v>15</v>
      </c>
      <c r="D68" s="25" t="s">
        <v>29</v>
      </c>
      <c r="E68" s="26" t="s">
        <v>15</v>
      </c>
      <c r="F68" s="25">
        <v>10</v>
      </c>
      <c r="G68" s="26" t="s">
        <v>15</v>
      </c>
      <c r="H68" s="25">
        <v>1</v>
      </c>
      <c r="I68" s="26" t="s">
        <v>15</v>
      </c>
      <c r="J68" s="26"/>
      <c r="K68" s="26" t="s">
        <v>15</v>
      </c>
      <c r="L68" s="26" t="s">
        <v>23</v>
      </c>
      <c r="M68" s="26" t="s">
        <v>9</v>
      </c>
    </row>
    <row r="69" spans="1:13" s="1" customFormat="1" ht="12.75">
      <c r="A69" s="3">
        <v>43374</v>
      </c>
      <c r="B69" s="4">
        <v>13</v>
      </c>
      <c r="C69" s="7">
        <f>SUM(B69*B68)</f>
        <v>13</v>
      </c>
      <c r="D69" s="4">
        <f>5291+954</f>
        <v>6245</v>
      </c>
      <c r="E69" s="7">
        <f>41005.25+10732.5</f>
        <v>51737.75</v>
      </c>
      <c r="F69" s="4">
        <v>0</v>
      </c>
      <c r="G69" s="7">
        <f>F69*F68</f>
        <v>0</v>
      </c>
      <c r="H69" s="4">
        <v>175</v>
      </c>
      <c r="I69" s="7">
        <f>SUM(H69*H68)</f>
        <v>175</v>
      </c>
      <c r="J69" s="4">
        <f>113+169+1629</f>
        <v>1911</v>
      </c>
      <c r="K69" s="7">
        <f>15561.5+507+5701.5+409.78</f>
        <v>22179.78</v>
      </c>
      <c r="L69" s="6">
        <f>B53+D53+F53+H53+J53+L53+B69+D69+F69+H69+J69</f>
        <v>42387</v>
      </c>
      <c r="M69" s="8">
        <f aca="true" t="shared" si="4" ref="L69:M80">C53+E53+G53+I53+K53+M53+C69+E69+G69+I69+K69</f>
        <v>234836.03</v>
      </c>
    </row>
    <row r="70" spans="1:13" s="1" customFormat="1" ht="12.75">
      <c r="A70" s="3">
        <v>43405</v>
      </c>
      <c r="B70" s="4">
        <v>7</v>
      </c>
      <c r="C70" s="7">
        <f>SUM(B70*B68)</f>
        <v>7</v>
      </c>
      <c r="D70" s="4">
        <f>5307+999</f>
        <v>6306</v>
      </c>
      <c r="E70" s="7">
        <f>41129.25+11238.75</f>
        <v>52368</v>
      </c>
      <c r="F70" s="4">
        <v>3</v>
      </c>
      <c r="G70" s="7">
        <f>F70*F68</f>
        <v>30</v>
      </c>
      <c r="H70" s="4">
        <v>254</v>
      </c>
      <c r="I70" s="7">
        <f>SUM(H70*H68)</f>
        <v>254</v>
      </c>
      <c r="J70" s="4">
        <f>52+153+1766</f>
        <v>1971</v>
      </c>
      <c r="K70" s="7">
        <f>4540.5+459+6181+434.01</f>
        <v>11614.51</v>
      </c>
      <c r="L70" s="6">
        <f t="shared" si="4"/>
        <v>42591</v>
      </c>
      <c r="M70" s="8">
        <f t="shared" si="4"/>
        <v>221144.01</v>
      </c>
    </row>
    <row r="71" spans="1:13" s="1" customFormat="1" ht="12.75">
      <c r="A71" s="3">
        <v>43435</v>
      </c>
      <c r="B71" s="4">
        <v>7</v>
      </c>
      <c r="C71" s="7">
        <f>SUM(B71*B68)</f>
        <v>7</v>
      </c>
      <c r="D71" s="4">
        <f>6493+1198</f>
        <v>7691</v>
      </c>
      <c r="E71" s="7">
        <f>50320.75+13477.5</f>
        <v>63798.25</v>
      </c>
      <c r="F71" s="4">
        <v>2</v>
      </c>
      <c r="G71" s="7">
        <f>F71*F68</f>
        <v>20</v>
      </c>
      <c r="H71" s="4">
        <v>315</v>
      </c>
      <c r="I71" s="7">
        <f>SUM(H71*H68)</f>
        <v>315</v>
      </c>
      <c r="J71" s="4">
        <f>27+251+1977</f>
        <v>2255</v>
      </c>
      <c r="K71" s="7">
        <f>1423+753+6919.5+553.48</f>
        <v>9648.98</v>
      </c>
      <c r="L71" s="6">
        <f t="shared" si="4"/>
        <v>49574</v>
      </c>
      <c r="M71" s="8">
        <f t="shared" si="4"/>
        <v>247676.48</v>
      </c>
    </row>
    <row r="72" spans="1:13" s="1" customFormat="1" ht="12.75">
      <c r="A72" s="3">
        <v>43466</v>
      </c>
      <c r="B72" s="4">
        <v>6</v>
      </c>
      <c r="C72" s="7">
        <f>SUM(B72*B68)</f>
        <v>6</v>
      </c>
      <c r="D72" s="4">
        <f>3377+377</f>
        <v>3754</v>
      </c>
      <c r="E72" s="7">
        <f>26171.75+4241.25</f>
        <v>30413</v>
      </c>
      <c r="F72" s="4">
        <v>0</v>
      </c>
      <c r="G72" s="7">
        <f>F72*F68</f>
        <v>0</v>
      </c>
      <c r="H72" s="4">
        <v>156</v>
      </c>
      <c r="I72" s="7">
        <f>SUM(H72*H68)</f>
        <v>156</v>
      </c>
      <c r="J72" s="4">
        <f>10+145+770</f>
        <v>925</v>
      </c>
      <c r="K72" s="7">
        <f>310.5+435+2695+493.29</f>
        <v>3933.79</v>
      </c>
      <c r="L72" s="6">
        <f t="shared" si="4"/>
        <v>39323</v>
      </c>
      <c r="M72" s="8">
        <f t="shared" si="4"/>
        <v>200127.79</v>
      </c>
    </row>
    <row r="73" spans="1:13" s="1" customFormat="1" ht="12.75">
      <c r="A73" s="3">
        <v>43497</v>
      </c>
      <c r="B73" s="4">
        <v>9</v>
      </c>
      <c r="C73" s="7">
        <f>SUM(B73*B68)</f>
        <v>9</v>
      </c>
      <c r="D73" s="4">
        <f>4559+656</f>
        <v>5215</v>
      </c>
      <c r="E73" s="7">
        <f>35332.25+7380</f>
        <v>42712.25</v>
      </c>
      <c r="F73" s="4">
        <v>0</v>
      </c>
      <c r="G73" s="7">
        <f>F73*F68</f>
        <v>0</v>
      </c>
      <c r="H73" s="4">
        <v>199</v>
      </c>
      <c r="I73" s="7">
        <f>SUM(H73*H68)</f>
        <v>199</v>
      </c>
      <c r="J73" s="4">
        <f>12+173+1180</f>
        <v>1365</v>
      </c>
      <c r="K73" s="7">
        <f>787+519+4130+399.41</f>
        <v>5835.41</v>
      </c>
      <c r="L73" s="6">
        <f t="shared" si="4"/>
        <v>39641</v>
      </c>
      <c r="M73" s="8">
        <f t="shared" si="4"/>
        <v>205784.66</v>
      </c>
    </row>
    <row r="74" spans="1:13" s="1" customFormat="1" ht="12.75">
      <c r="A74" s="3">
        <v>43525</v>
      </c>
      <c r="B74" s="4">
        <v>6</v>
      </c>
      <c r="C74" s="7">
        <f>SUM(B74*B68)</f>
        <v>6</v>
      </c>
      <c r="D74" s="4">
        <f>4547+726</f>
        <v>5273</v>
      </c>
      <c r="E74" s="7">
        <f>35239.25+8167.5</f>
        <v>43406.75</v>
      </c>
      <c r="F74" s="4">
        <v>1</v>
      </c>
      <c r="G74" s="7">
        <f>F74*F68</f>
        <v>10</v>
      </c>
      <c r="H74" s="4">
        <v>258</v>
      </c>
      <c r="I74" s="7">
        <f>SUM(H74*H68)</f>
        <v>258</v>
      </c>
      <c r="J74" s="4">
        <f>23+150+1400</f>
        <v>1573</v>
      </c>
      <c r="K74" s="7">
        <f>1762.5+450+4900+477.31</f>
        <v>7589.81</v>
      </c>
      <c r="L74" s="6">
        <f t="shared" si="4"/>
        <v>44197</v>
      </c>
      <c r="M74" s="8">
        <f t="shared" si="4"/>
        <v>221106.31</v>
      </c>
    </row>
    <row r="75" spans="1:13" s="1" customFormat="1" ht="12.75">
      <c r="A75" s="3">
        <v>43556</v>
      </c>
      <c r="B75" s="4">
        <v>81</v>
      </c>
      <c r="C75" s="7">
        <f>SUM(B75*B68)</f>
        <v>81</v>
      </c>
      <c r="D75" s="4">
        <f>4782+856</f>
        <v>5638</v>
      </c>
      <c r="E75" s="7">
        <f>37060.5+9630</f>
        <v>46690.5</v>
      </c>
      <c r="F75" s="4">
        <v>1</v>
      </c>
      <c r="G75" s="7">
        <f>F75*F68</f>
        <v>10</v>
      </c>
      <c r="H75" s="4">
        <v>642</v>
      </c>
      <c r="I75" s="7">
        <f>SUM(H75*H68)</f>
        <v>642</v>
      </c>
      <c r="J75" s="4">
        <f>32+94+1557</f>
        <v>1683</v>
      </c>
      <c r="K75" s="7">
        <f>2204.5+282+5449.5+374.96</f>
        <v>8310.96</v>
      </c>
      <c r="L75" s="6">
        <f t="shared" si="4"/>
        <v>35952</v>
      </c>
      <c r="M75" s="8">
        <f t="shared" si="4"/>
        <v>183869.21</v>
      </c>
    </row>
    <row r="76" spans="1:13" s="1" customFormat="1" ht="12.75">
      <c r="A76" s="3">
        <v>43586</v>
      </c>
      <c r="B76" s="4">
        <v>40</v>
      </c>
      <c r="C76" s="7">
        <f>SUM(B76*B68)</f>
        <v>40</v>
      </c>
      <c r="D76" s="4">
        <f>4770+843</f>
        <v>5613</v>
      </c>
      <c r="E76" s="7">
        <f>36967.5+9483.75</f>
        <v>46451.25</v>
      </c>
      <c r="F76" s="4">
        <v>1</v>
      </c>
      <c r="G76" s="7">
        <f>F76*F68</f>
        <v>10</v>
      </c>
      <c r="H76" s="4">
        <v>309</v>
      </c>
      <c r="I76" s="7">
        <f>SUM(H76*H68)</f>
        <v>309</v>
      </c>
      <c r="J76" s="4">
        <f>33+136+1441</f>
        <v>1610</v>
      </c>
      <c r="K76" s="7">
        <f>1968+408+5043.5+425.53</f>
        <v>7845.03</v>
      </c>
      <c r="L76" s="6">
        <f t="shared" si="4"/>
        <v>41860</v>
      </c>
      <c r="M76" s="8">
        <f t="shared" si="4"/>
        <v>210131.53</v>
      </c>
    </row>
    <row r="77" spans="1:13" s="1" customFormat="1" ht="12.75">
      <c r="A77" s="3">
        <v>43617</v>
      </c>
      <c r="B77" s="4">
        <v>29</v>
      </c>
      <c r="C77" s="7">
        <f>SUM(B77*B68)</f>
        <v>29</v>
      </c>
      <c r="D77" s="4">
        <f>4329+718</f>
        <v>5047</v>
      </c>
      <c r="E77" s="7">
        <f>33549.75+8077.5</f>
        <v>41627.25</v>
      </c>
      <c r="F77" s="4">
        <v>1</v>
      </c>
      <c r="G77" s="7">
        <f>F77*F68</f>
        <v>10</v>
      </c>
      <c r="H77" s="4">
        <v>205</v>
      </c>
      <c r="I77" s="7">
        <f>SUM(H77*H68)</f>
        <v>205</v>
      </c>
      <c r="J77" s="4">
        <f>24+156+1330</f>
        <v>1510</v>
      </c>
      <c r="K77" s="7">
        <f>1352+468+4655+356.27</f>
        <v>6831.27</v>
      </c>
      <c r="L77" s="6">
        <f t="shared" si="4"/>
        <v>42274</v>
      </c>
      <c r="M77" s="8">
        <f t="shared" si="4"/>
        <v>214826.27</v>
      </c>
    </row>
    <row r="78" spans="1:13" s="1" customFormat="1" ht="12.75">
      <c r="A78" s="3">
        <v>43647</v>
      </c>
      <c r="B78" s="4">
        <v>13</v>
      </c>
      <c r="C78" s="7">
        <f>SUM(B78*B68)</f>
        <v>13</v>
      </c>
      <c r="D78" s="4">
        <f>5052+955</f>
        <v>6007</v>
      </c>
      <c r="E78" s="7">
        <f>39153+10743.75</f>
        <v>49896.75</v>
      </c>
      <c r="F78" s="4">
        <v>2</v>
      </c>
      <c r="G78" s="7">
        <f>F78*F68</f>
        <v>20</v>
      </c>
      <c r="H78" s="4">
        <v>216</v>
      </c>
      <c r="I78" s="7">
        <f>SUM(H78*H68)</f>
        <v>216</v>
      </c>
      <c r="J78" s="4">
        <f>39+203+1646</f>
        <v>1888</v>
      </c>
      <c r="K78" s="7">
        <f>3548+609+5761+489.04</f>
        <v>10407.04</v>
      </c>
      <c r="L78" s="6">
        <f t="shared" si="4"/>
        <v>45263</v>
      </c>
      <c r="M78" s="8">
        <f t="shared" si="4"/>
        <v>235142.79</v>
      </c>
    </row>
    <row r="79" spans="1:13" s="1" customFormat="1" ht="12.75">
      <c r="A79" s="3">
        <v>43678</v>
      </c>
      <c r="B79" s="4">
        <v>11</v>
      </c>
      <c r="C79" s="7">
        <f>SUM(B79*B68)</f>
        <v>11</v>
      </c>
      <c r="D79" s="4">
        <f>4782+901</f>
        <v>5683</v>
      </c>
      <c r="E79" s="7">
        <f>37060.5+10136.25</f>
        <v>47196.75</v>
      </c>
      <c r="F79" s="4">
        <v>0</v>
      </c>
      <c r="G79" s="7">
        <f>F79*F68</f>
        <v>0</v>
      </c>
      <c r="H79" s="4">
        <v>222</v>
      </c>
      <c r="I79" s="7">
        <f>SUM(H79*H68)</f>
        <v>222</v>
      </c>
      <c r="J79" s="4">
        <f>73+137+1628</f>
        <v>1838</v>
      </c>
      <c r="K79" s="7">
        <f>8235.75+411+5698+435.23</f>
        <v>14779.98</v>
      </c>
      <c r="L79" s="6">
        <f t="shared" si="4"/>
        <v>44281</v>
      </c>
      <c r="M79" s="8">
        <f t="shared" si="4"/>
        <v>233287.48</v>
      </c>
    </row>
    <row r="80" spans="1:13" s="1" customFormat="1" ht="12.75">
      <c r="A80" s="3">
        <v>43709</v>
      </c>
      <c r="B80" s="4">
        <v>8</v>
      </c>
      <c r="C80" s="7">
        <f>B80*B68</f>
        <v>8</v>
      </c>
      <c r="D80" s="4">
        <f>4603+921</f>
        <v>5524</v>
      </c>
      <c r="E80" s="7">
        <f>35673.25+10361.25</f>
        <v>46034.5</v>
      </c>
      <c r="F80" s="4">
        <v>0</v>
      </c>
      <c r="G80" s="7">
        <f>F80*F68</f>
        <v>0</v>
      </c>
      <c r="H80" s="4">
        <v>209</v>
      </c>
      <c r="I80" s="7">
        <f>SUM(H80*H68)</f>
        <v>209</v>
      </c>
      <c r="J80" s="4">
        <f>71+146+1512</f>
        <v>1729</v>
      </c>
      <c r="K80" s="7">
        <f>9793+438+5292+444.48</f>
        <v>15967.48</v>
      </c>
      <c r="L80" s="6">
        <f t="shared" si="4"/>
        <v>39777</v>
      </c>
      <c r="M80" s="8">
        <f t="shared" si="4"/>
        <v>211528.48</v>
      </c>
    </row>
    <row r="81" spans="1:13" s="1" customFormat="1" ht="13.5" thickBot="1">
      <c r="A81" s="13" t="s">
        <v>36</v>
      </c>
      <c r="B81" s="14">
        <f aca="true" t="shared" si="5" ref="B81:M81">SUM(B69:B80)</f>
        <v>230</v>
      </c>
      <c r="C81" s="16">
        <f t="shared" si="5"/>
        <v>230</v>
      </c>
      <c r="D81" s="14">
        <f t="shared" si="5"/>
        <v>67996</v>
      </c>
      <c r="E81" s="16">
        <f t="shared" si="5"/>
        <v>562333</v>
      </c>
      <c r="F81" s="17">
        <f t="shared" si="5"/>
        <v>11</v>
      </c>
      <c r="G81" s="16">
        <f t="shared" si="5"/>
        <v>110</v>
      </c>
      <c r="H81" s="14">
        <f t="shared" si="5"/>
        <v>3160</v>
      </c>
      <c r="I81" s="16">
        <f t="shared" si="5"/>
        <v>3160</v>
      </c>
      <c r="J81" s="14">
        <f t="shared" si="5"/>
        <v>20258</v>
      </c>
      <c r="K81" s="16">
        <f t="shared" si="5"/>
        <v>124944.03999999998</v>
      </c>
      <c r="L81" s="18">
        <f t="shared" si="5"/>
        <v>507120</v>
      </c>
      <c r="M81" s="19">
        <f t="shared" si="5"/>
        <v>2619461.04</v>
      </c>
    </row>
    <row r="82" spans="1:13" s="1" customFormat="1" ht="1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s="1" customFormat="1" ht="1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s="1" customFormat="1" ht="12">
      <c r="A84" s="2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1" customFormat="1" ht="15.75">
      <c r="A85" s="11" t="s">
        <v>24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1" customFormat="1" ht="17.25" customHeight="1">
      <c r="A86" s="33" t="s">
        <v>32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s="1" customFormat="1" ht="17.25" customHeight="1">
      <c r="A87" s="34" t="s">
        <v>0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1" customFormat="1" ht="17.2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="1" customFormat="1" ht="17.25" customHeight="1"/>
    <row r="90" s="1" customFormat="1" ht="17.25" customHeight="1"/>
    <row r="91" spans="1:13" s="1" customFormat="1" ht="13.5" customHeight="1">
      <c r="A91" s="11" t="s">
        <v>35</v>
      </c>
      <c r="B91" s="10"/>
      <c r="C91" s="10"/>
      <c r="D91" s="10"/>
      <c r="E91" s="12"/>
      <c r="F91" s="10"/>
      <c r="G91" s="10"/>
      <c r="H91" s="10"/>
      <c r="I91" s="10"/>
      <c r="J91" s="9"/>
      <c r="K91" s="9"/>
      <c r="L91" s="10"/>
      <c r="M91" s="10"/>
    </row>
    <row r="92" spans="1:13" s="1" customFormat="1" ht="13.5" thickBo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s="1" customFormat="1" ht="12.75">
      <c r="A93" s="21" t="s">
        <v>1</v>
      </c>
      <c r="B93" s="22" t="s">
        <v>31</v>
      </c>
      <c r="C93" s="22" t="s">
        <v>27</v>
      </c>
      <c r="D93" s="22" t="s">
        <v>2</v>
      </c>
      <c r="E93" s="22" t="s">
        <v>10</v>
      </c>
      <c r="F93" s="22" t="s">
        <v>3</v>
      </c>
      <c r="G93" s="23" t="s">
        <v>11</v>
      </c>
      <c r="H93" s="22" t="s">
        <v>4</v>
      </c>
      <c r="I93" s="23" t="s">
        <v>12</v>
      </c>
      <c r="J93" s="22" t="s">
        <v>5</v>
      </c>
      <c r="K93" s="23" t="s">
        <v>13</v>
      </c>
      <c r="L93" s="21" t="s">
        <v>6</v>
      </c>
      <c r="M93" s="22" t="s">
        <v>14</v>
      </c>
    </row>
    <row r="94" spans="1:13" s="2" customFormat="1" ht="13.5" thickBot="1">
      <c r="A94" s="24" t="s">
        <v>8</v>
      </c>
      <c r="B94" s="25">
        <v>3.75</v>
      </c>
      <c r="C94" s="26" t="s">
        <v>15</v>
      </c>
      <c r="D94" s="25">
        <v>11</v>
      </c>
      <c r="E94" s="26" t="s">
        <v>15</v>
      </c>
      <c r="F94" s="25">
        <v>15</v>
      </c>
      <c r="G94" s="27" t="s">
        <v>15</v>
      </c>
      <c r="H94" s="25">
        <v>17.25</v>
      </c>
      <c r="I94" s="27" t="s">
        <v>15</v>
      </c>
      <c r="J94" s="25">
        <v>22</v>
      </c>
      <c r="K94" s="27" t="s">
        <v>15</v>
      </c>
      <c r="L94" s="28">
        <v>25</v>
      </c>
      <c r="M94" s="26" t="s">
        <v>15</v>
      </c>
    </row>
    <row r="95" spans="1:13" s="2" customFormat="1" ht="12.75">
      <c r="A95" s="3">
        <v>43374</v>
      </c>
      <c r="B95" s="4">
        <v>124116</v>
      </c>
      <c r="C95" s="5">
        <f>SUM(B95*B94)</f>
        <v>465435</v>
      </c>
      <c r="D95" s="4">
        <v>2410</v>
      </c>
      <c r="E95" s="5">
        <f>SUM(D95*D94)</f>
        <v>26510</v>
      </c>
      <c r="F95" s="4">
        <v>1799</v>
      </c>
      <c r="G95" s="5">
        <f>SUM(F95*F94)</f>
        <v>26985</v>
      </c>
      <c r="H95" s="4">
        <v>70</v>
      </c>
      <c r="I95" s="5">
        <f>SUM(H95*H94)</f>
        <v>1207.5</v>
      </c>
      <c r="J95" s="4">
        <v>17250</v>
      </c>
      <c r="K95" s="5">
        <f>SUM(J95*J94)</f>
        <v>379500</v>
      </c>
      <c r="L95" s="4">
        <v>1409</v>
      </c>
      <c r="M95" s="5">
        <f>SUM(L95*L94)</f>
        <v>35225</v>
      </c>
    </row>
    <row r="96" spans="1:13" s="2" customFormat="1" ht="12.75">
      <c r="A96" s="3">
        <v>43405</v>
      </c>
      <c r="B96" s="4">
        <v>120752</v>
      </c>
      <c r="C96" s="5">
        <f>SUM(B96*B94)</f>
        <v>452820</v>
      </c>
      <c r="D96" s="4">
        <v>2177</v>
      </c>
      <c r="E96" s="5">
        <f>SUM(D96*D94)</f>
        <v>23947</v>
      </c>
      <c r="F96" s="4">
        <v>1931</v>
      </c>
      <c r="G96" s="5">
        <f>SUM(F96*F94)</f>
        <v>28965</v>
      </c>
      <c r="H96" s="4">
        <v>51</v>
      </c>
      <c r="I96" s="5">
        <f>SUM(H96*H94)</f>
        <v>879.75</v>
      </c>
      <c r="J96" s="4">
        <v>15727</v>
      </c>
      <c r="K96" s="5">
        <f>SUM(J96*J94)</f>
        <v>345994</v>
      </c>
      <c r="L96" s="4">
        <v>1074</v>
      </c>
      <c r="M96" s="5">
        <f>SUM(L96*L94)</f>
        <v>26850</v>
      </c>
    </row>
    <row r="97" spans="1:13" s="2" customFormat="1" ht="12.75">
      <c r="A97" s="3">
        <v>43435</v>
      </c>
      <c r="B97" s="4">
        <v>132967</v>
      </c>
      <c r="C97" s="5">
        <f>SUM(B97*B94)</f>
        <v>498626.25</v>
      </c>
      <c r="D97" s="4">
        <v>1798</v>
      </c>
      <c r="E97" s="5">
        <f>SUM(D97*D94)</f>
        <v>19778</v>
      </c>
      <c r="F97" s="4">
        <v>1711</v>
      </c>
      <c r="G97" s="5">
        <f>SUM(F97*F94)</f>
        <v>25665</v>
      </c>
      <c r="H97" s="4">
        <v>39</v>
      </c>
      <c r="I97" s="5">
        <f>SUM(H97*H94)</f>
        <v>672.75</v>
      </c>
      <c r="J97" s="4">
        <v>12828</v>
      </c>
      <c r="K97" s="5">
        <f>SUM(J97*J94)</f>
        <v>282216</v>
      </c>
      <c r="L97" s="4">
        <v>1009</v>
      </c>
      <c r="M97" s="5">
        <f>SUM(L97*L94)</f>
        <v>25225</v>
      </c>
    </row>
    <row r="98" spans="1:13" s="2" customFormat="1" ht="12.75">
      <c r="A98" s="3">
        <v>43466</v>
      </c>
      <c r="B98" s="4">
        <v>124137</v>
      </c>
      <c r="C98" s="5">
        <f>SUM(B98*B94)</f>
        <v>465513.75</v>
      </c>
      <c r="D98" s="4">
        <v>2020</v>
      </c>
      <c r="E98" s="5">
        <f>SUM(D98*D94)</f>
        <v>22220</v>
      </c>
      <c r="F98" s="4">
        <v>1960</v>
      </c>
      <c r="G98" s="5">
        <f>SUM(F98*F94)</f>
        <v>29400</v>
      </c>
      <c r="H98" s="4">
        <v>61</v>
      </c>
      <c r="I98" s="5">
        <f>SUM(H98*H94)</f>
        <v>1052.25</v>
      </c>
      <c r="J98" s="4">
        <v>15551</v>
      </c>
      <c r="K98" s="5">
        <f>SUM(J98*J94)</f>
        <v>342122</v>
      </c>
      <c r="L98" s="4">
        <v>978</v>
      </c>
      <c r="M98" s="5">
        <f>SUM(L98*L94)</f>
        <v>24450</v>
      </c>
    </row>
    <row r="99" spans="1:13" s="2" customFormat="1" ht="12.75">
      <c r="A99" s="3">
        <v>43497</v>
      </c>
      <c r="B99" s="4">
        <v>114403</v>
      </c>
      <c r="C99" s="5">
        <f>SUM(B99*B94)</f>
        <v>429011.25</v>
      </c>
      <c r="D99" s="4">
        <v>1944</v>
      </c>
      <c r="E99" s="5">
        <f>SUM(D99*D94)</f>
        <v>21384</v>
      </c>
      <c r="F99" s="4">
        <v>1747</v>
      </c>
      <c r="G99" s="5">
        <f>SUM(F99*F94)</f>
        <v>26205</v>
      </c>
      <c r="H99" s="4">
        <v>60</v>
      </c>
      <c r="I99" s="5">
        <f>SUM(H99*H94)</f>
        <v>1035</v>
      </c>
      <c r="J99" s="4">
        <v>15096</v>
      </c>
      <c r="K99" s="5">
        <f>SUM(J99*J94)</f>
        <v>332112</v>
      </c>
      <c r="L99" s="4">
        <v>878</v>
      </c>
      <c r="M99" s="5">
        <f>SUM(L99*L94)</f>
        <v>21950</v>
      </c>
    </row>
    <row r="100" spans="1:13" s="2" customFormat="1" ht="12.75">
      <c r="A100" s="3">
        <v>43525</v>
      </c>
      <c r="B100" s="4">
        <v>127642</v>
      </c>
      <c r="C100" s="5">
        <f>SUM(B100*B94)</f>
        <v>478657.5</v>
      </c>
      <c r="D100" s="4">
        <v>2133</v>
      </c>
      <c r="E100" s="5">
        <f>SUM(D100*D94)</f>
        <v>23463</v>
      </c>
      <c r="F100" s="4">
        <v>1882</v>
      </c>
      <c r="G100" s="5">
        <f>SUM(F100*F94)</f>
        <v>28230</v>
      </c>
      <c r="H100" s="4">
        <v>69</v>
      </c>
      <c r="I100" s="5">
        <f>SUM(H100*H94)</f>
        <v>1190.25</v>
      </c>
      <c r="J100" s="4">
        <v>16795</v>
      </c>
      <c r="K100" s="5">
        <f>SUM(J100*J94)</f>
        <v>369490</v>
      </c>
      <c r="L100" s="4">
        <v>1005</v>
      </c>
      <c r="M100" s="5">
        <f>SUM(L100*L94)</f>
        <v>25125</v>
      </c>
    </row>
    <row r="101" spans="1:13" s="2" customFormat="1" ht="12.75">
      <c r="A101" s="3">
        <v>43556</v>
      </c>
      <c r="B101" s="4">
        <v>99495</v>
      </c>
      <c r="C101" s="5">
        <f>SUM(B101*B94)</f>
        <v>373106.25</v>
      </c>
      <c r="D101" s="4">
        <v>1947</v>
      </c>
      <c r="E101" s="5">
        <f>SUM(D101*D94)</f>
        <v>21417</v>
      </c>
      <c r="F101" s="4">
        <v>1549</v>
      </c>
      <c r="G101" s="5">
        <f>SUM(F101*F94)</f>
        <v>23235</v>
      </c>
      <c r="H101" s="4">
        <v>50</v>
      </c>
      <c r="I101" s="5">
        <f>SUM(H101*H94)</f>
        <v>862.5</v>
      </c>
      <c r="J101" s="4">
        <v>16207</v>
      </c>
      <c r="K101" s="5">
        <f>SUM(J101*J94)</f>
        <v>356554</v>
      </c>
      <c r="L101" s="4">
        <v>1005</v>
      </c>
      <c r="M101" s="5">
        <f>SUM(L101*L94)</f>
        <v>25125</v>
      </c>
    </row>
    <row r="102" spans="1:13" s="2" customFormat="1" ht="12.75">
      <c r="A102" s="3">
        <v>43586</v>
      </c>
      <c r="B102" s="4">
        <v>118118</v>
      </c>
      <c r="C102" s="5">
        <f>SUM(B102*B94)</f>
        <v>442942.5</v>
      </c>
      <c r="D102" s="4">
        <v>2161</v>
      </c>
      <c r="E102" s="5">
        <f>SUM(D102*D94)</f>
        <v>23771</v>
      </c>
      <c r="F102" s="4">
        <v>1743</v>
      </c>
      <c r="G102" s="5">
        <f>SUM(F102*F94)</f>
        <v>26145</v>
      </c>
      <c r="H102" s="4">
        <v>42</v>
      </c>
      <c r="I102" s="5">
        <f>SUM(H102*H94)</f>
        <v>724.5</v>
      </c>
      <c r="J102" s="4">
        <v>17474</v>
      </c>
      <c r="K102" s="5">
        <f>SUM(J102*J94)</f>
        <v>384428</v>
      </c>
      <c r="L102" s="4">
        <v>1115</v>
      </c>
      <c r="M102" s="5">
        <f>SUM(L102*L94)</f>
        <v>27875</v>
      </c>
    </row>
    <row r="103" spans="1:13" s="2" customFormat="1" ht="12.75">
      <c r="A103" s="3">
        <v>43617</v>
      </c>
      <c r="B103" s="4">
        <v>117616</v>
      </c>
      <c r="C103" s="5">
        <f>SUM(B103*B94)</f>
        <v>441060</v>
      </c>
      <c r="D103" s="4">
        <v>1983</v>
      </c>
      <c r="E103" s="5">
        <f>SUM(D103*D94)</f>
        <v>21813</v>
      </c>
      <c r="F103" s="4">
        <v>1741</v>
      </c>
      <c r="G103" s="5">
        <f>SUM(F103*F94)</f>
        <v>26115</v>
      </c>
      <c r="H103" s="4">
        <v>32</v>
      </c>
      <c r="I103" s="5">
        <f>SUM(H103*H94)</f>
        <v>552</v>
      </c>
      <c r="J103" s="4">
        <v>15976</v>
      </c>
      <c r="K103" s="5">
        <f>SUM(J103*J94)</f>
        <v>351472</v>
      </c>
      <c r="L103" s="4">
        <v>935</v>
      </c>
      <c r="M103" s="5">
        <f>SUM(L103*L94)</f>
        <v>23375</v>
      </c>
    </row>
    <row r="104" spans="1:13" s="2" customFormat="1" ht="12.75">
      <c r="A104" s="3">
        <v>43647</v>
      </c>
      <c r="B104" s="4">
        <v>119623</v>
      </c>
      <c r="C104" s="5">
        <f>SUM(B104*B94)</f>
        <v>448586.25</v>
      </c>
      <c r="D104" s="4">
        <v>2121</v>
      </c>
      <c r="E104" s="5">
        <f>SUM(D104*D94)</f>
        <v>23331</v>
      </c>
      <c r="F104" s="4">
        <v>1907</v>
      </c>
      <c r="G104" s="5">
        <f>SUM(F104*F94)</f>
        <v>28605</v>
      </c>
      <c r="H104" s="4">
        <v>33</v>
      </c>
      <c r="I104" s="5">
        <f>SUM(H104*H94)</f>
        <v>569.25</v>
      </c>
      <c r="J104" s="4">
        <v>17580</v>
      </c>
      <c r="K104" s="5">
        <f>SUM(J104*J94)</f>
        <v>386760</v>
      </c>
      <c r="L104" s="4">
        <v>1069</v>
      </c>
      <c r="M104" s="5">
        <f>SUM(L104*L94)</f>
        <v>26725</v>
      </c>
    </row>
    <row r="105" spans="1:13" s="2" customFormat="1" ht="12.75">
      <c r="A105" s="3">
        <v>43678</v>
      </c>
      <c r="B105" s="4">
        <v>126023</v>
      </c>
      <c r="C105" s="5">
        <f>SUM(B105*B94)</f>
        <v>472586.25</v>
      </c>
      <c r="D105" s="4">
        <v>2181</v>
      </c>
      <c r="E105" s="5">
        <f>SUM(D105*D94)</f>
        <v>23991</v>
      </c>
      <c r="F105" s="4">
        <v>1931</v>
      </c>
      <c r="G105" s="5">
        <f>SUM(F105*F94)</f>
        <v>28965</v>
      </c>
      <c r="H105" s="4">
        <v>23</v>
      </c>
      <c r="I105" s="5">
        <f>SUM(H105*H94)</f>
        <v>396.75</v>
      </c>
      <c r="J105" s="4">
        <v>17449</v>
      </c>
      <c r="K105" s="5">
        <f>SUM(J105*J94)</f>
        <v>383878</v>
      </c>
      <c r="L105" s="4">
        <v>985</v>
      </c>
      <c r="M105" s="5">
        <f>SUM(L105*L94)</f>
        <v>24625</v>
      </c>
    </row>
    <row r="106" spans="1:13" s="2" customFormat="1" ht="12.75">
      <c r="A106" s="3">
        <v>43709</v>
      </c>
      <c r="B106" s="4">
        <v>119232</v>
      </c>
      <c r="C106" s="5">
        <f>B106*B94</f>
        <v>447120</v>
      </c>
      <c r="D106" s="4">
        <v>2007</v>
      </c>
      <c r="E106" s="5">
        <f>SUM(D106*D94)</f>
        <v>22077</v>
      </c>
      <c r="F106" s="4">
        <v>1788</v>
      </c>
      <c r="G106" s="5">
        <f>SUM(F106*F94)</f>
        <v>26820</v>
      </c>
      <c r="H106" s="4">
        <v>32</v>
      </c>
      <c r="I106" s="5">
        <f>H106*H94</f>
        <v>552</v>
      </c>
      <c r="J106" s="4">
        <v>15610</v>
      </c>
      <c r="K106" s="5">
        <f>SUM(J106*J94)</f>
        <v>343420</v>
      </c>
      <c r="L106" s="4">
        <v>1140</v>
      </c>
      <c r="M106" s="5">
        <f>SUM(L106*L94)</f>
        <v>28500</v>
      </c>
    </row>
    <row r="107" spans="1:13" s="2" customFormat="1" ht="13.5" thickBot="1">
      <c r="A107" s="13" t="s">
        <v>36</v>
      </c>
      <c r="B107" s="14">
        <f aca="true" t="shared" si="6" ref="B107:M107">SUM(B95:B106)</f>
        <v>1444124</v>
      </c>
      <c r="C107" s="15">
        <f t="shared" si="6"/>
        <v>5415465</v>
      </c>
      <c r="D107" s="14">
        <f t="shared" si="6"/>
        <v>24882</v>
      </c>
      <c r="E107" s="15">
        <f t="shared" si="6"/>
        <v>273702</v>
      </c>
      <c r="F107" s="14">
        <f t="shared" si="6"/>
        <v>21689</v>
      </c>
      <c r="G107" s="15">
        <f t="shared" si="6"/>
        <v>325335</v>
      </c>
      <c r="H107" s="14">
        <f t="shared" si="6"/>
        <v>562</v>
      </c>
      <c r="I107" s="15">
        <f t="shared" si="6"/>
        <v>9694.5</v>
      </c>
      <c r="J107" s="14">
        <f t="shared" si="6"/>
        <v>193543</v>
      </c>
      <c r="K107" s="15">
        <f t="shared" si="6"/>
        <v>4257946</v>
      </c>
      <c r="L107" s="14">
        <f t="shared" si="6"/>
        <v>12602</v>
      </c>
      <c r="M107" s="15">
        <f t="shared" si="6"/>
        <v>315050</v>
      </c>
    </row>
    <row r="108" spans="1:13" s="2" customFormat="1" ht="12.75" thickBo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s="1" customFormat="1" ht="12.75">
      <c r="A109" s="21" t="s">
        <v>1</v>
      </c>
      <c r="B109" s="22" t="s">
        <v>16</v>
      </c>
      <c r="C109" s="22" t="s">
        <v>17</v>
      </c>
      <c r="D109" s="22" t="s">
        <v>25</v>
      </c>
      <c r="E109" s="22" t="s">
        <v>26</v>
      </c>
      <c r="F109" s="22" t="s">
        <v>18</v>
      </c>
      <c r="G109" s="22" t="s">
        <v>19</v>
      </c>
      <c r="H109" s="22" t="s">
        <v>7</v>
      </c>
      <c r="I109" s="22" t="s">
        <v>28</v>
      </c>
      <c r="J109" s="22" t="s">
        <v>20</v>
      </c>
      <c r="K109" s="22" t="s">
        <v>21</v>
      </c>
      <c r="L109" s="22" t="s">
        <v>22</v>
      </c>
      <c r="M109" s="22" t="s">
        <v>22</v>
      </c>
    </row>
    <row r="110" spans="1:13" s="1" customFormat="1" ht="13.5" thickBot="1">
      <c r="A110" s="24" t="s">
        <v>8</v>
      </c>
      <c r="B110" s="25">
        <v>1</v>
      </c>
      <c r="C110" s="26" t="s">
        <v>15</v>
      </c>
      <c r="D110" s="25" t="s">
        <v>29</v>
      </c>
      <c r="E110" s="26" t="s">
        <v>15</v>
      </c>
      <c r="F110" s="25">
        <v>10</v>
      </c>
      <c r="G110" s="26" t="s">
        <v>15</v>
      </c>
      <c r="H110" s="25">
        <v>1</v>
      </c>
      <c r="I110" s="26" t="s">
        <v>15</v>
      </c>
      <c r="J110" s="26"/>
      <c r="K110" s="26" t="s">
        <v>15</v>
      </c>
      <c r="L110" s="26" t="s">
        <v>23</v>
      </c>
      <c r="M110" s="26" t="s">
        <v>9</v>
      </c>
    </row>
    <row r="111" spans="1:13" s="1" customFormat="1" ht="12.75">
      <c r="A111" s="3">
        <v>43374</v>
      </c>
      <c r="B111" s="4">
        <v>920</v>
      </c>
      <c r="C111" s="7">
        <f>SUM(B111*B110)</f>
        <v>920</v>
      </c>
      <c r="D111" s="4">
        <v>0</v>
      </c>
      <c r="E111" s="7">
        <v>0</v>
      </c>
      <c r="F111" s="4">
        <v>8</v>
      </c>
      <c r="G111" s="7">
        <f>F111*F110</f>
        <v>80</v>
      </c>
      <c r="H111" s="4">
        <v>146</v>
      </c>
      <c r="I111" s="7">
        <f>SUM(H111*H110)</f>
        <v>146</v>
      </c>
      <c r="J111" s="4">
        <f>154+332+1</f>
        <v>487</v>
      </c>
      <c r="K111" s="7">
        <f>33.5+462+1162+3050.64+14.55</f>
        <v>4722.69</v>
      </c>
      <c r="L111" s="6">
        <f aca="true" t="shared" si="7" ref="L111:M122">B95+D95+F95+H95+J95+L95+B111+D111+F111+H111+J111</f>
        <v>148615</v>
      </c>
      <c r="M111" s="8">
        <f t="shared" si="7"/>
        <v>940731.19</v>
      </c>
    </row>
    <row r="112" spans="1:13" s="1" customFormat="1" ht="12.75">
      <c r="A112" s="3">
        <v>43405</v>
      </c>
      <c r="B112" s="4">
        <v>799</v>
      </c>
      <c r="C112" s="7">
        <f>SUM(B112*B110)</f>
        <v>799</v>
      </c>
      <c r="D112" s="4">
        <v>0</v>
      </c>
      <c r="E112" s="7">
        <v>0</v>
      </c>
      <c r="F112" s="4">
        <v>16</v>
      </c>
      <c r="G112" s="7">
        <f>F112*F110</f>
        <v>160</v>
      </c>
      <c r="H112" s="4">
        <v>101</v>
      </c>
      <c r="I112" s="7">
        <f>SUM(H112*H110)</f>
        <v>101</v>
      </c>
      <c r="J112" s="4">
        <f>2+189+305</f>
        <v>496</v>
      </c>
      <c r="K112" s="7">
        <f>238+567+1067.5+2892.56+25</f>
        <v>4790.0599999999995</v>
      </c>
      <c r="L112" s="6">
        <f t="shared" si="7"/>
        <v>143124</v>
      </c>
      <c r="M112" s="8">
        <f t="shared" si="7"/>
        <v>885305.81</v>
      </c>
    </row>
    <row r="113" spans="1:13" s="1" customFormat="1" ht="12.75">
      <c r="A113" s="3">
        <v>43435</v>
      </c>
      <c r="B113" s="4">
        <v>852</v>
      </c>
      <c r="C113" s="7">
        <f>SUM(B113*B110)</f>
        <v>852</v>
      </c>
      <c r="D113" s="4">
        <v>0</v>
      </c>
      <c r="E113" s="7">
        <v>0</v>
      </c>
      <c r="F113" s="4">
        <v>3</v>
      </c>
      <c r="G113" s="7">
        <f>F113*F110</f>
        <v>30</v>
      </c>
      <c r="H113" s="4">
        <v>170</v>
      </c>
      <c r="I113" s="7">
        <f>SUM(H113*H110)</f>
        <v>170</v>
      </c>
      <c r="J113" s="4">
        <f>4+365+172</f>
        <v>541</v>
      </c>
      <c r="K113" s="7">
        <f>356+1095+602+3223.04</f>
        <v>5276.04</v>
      </c>
      <c r="L113" s="6">
        <f t="shared" si="7"/>
        <v>151918</v>
      </c>
      <c r="M113" s="8">
        <f t="shared" si="7"/>
        <v>858511.04</v>
      </c>
    </row>
    <row r="114" spans="1:13" s="1" customFormat="1" ht="12.75">
      <c r="A114" s="3">
        <v>43466</v>
      </c>
      <c r="B114" s="4">
        <v>829</v>
      </c>
      <c r="C114" s="7">
        <f>SUM(B114*B110)</f>
        <v>829</v>
      </c>
      <c r="D114" s="4">
        <v>0</v>
      </c>
      <c r="E114" s="7">
        <v>0</v>
      </c>
      <c r="F114" s="4">
        <v>5</v>
      </c>
      <c r="G114" s="7">
        <f>F114*F110</f>
        <v>50</v>
      </c>
      <c r="H114" s="4">
        <v>145</v>
      </c>
      <c r="I114" s="7">
        <f>SUM(H114*H110)</f>
        <v>145</v>
      </c>
      <c r="J114" s="4">
        <f>1+182+266</f>
        <v>449</v>
      </c>
      <c r="K114" s="7">
        <f>32.5+546+931+2863.76+52</f>
        <v>4425.26</v>
      </c>
      <c r="L114" s="6">
        <f t="shared" si="7"/>
        <v>146135</v>
      </c>
      <c r="M114" s="8">
        <f t="shared" si="7"/>
        <v>890207.26</v>
      </c>
    </row>
    <row r="115" spans="1:13" s="1" customFormat="1" ht="12.75">
      <c r="A115" s="3">
        <v>43497</v>
      </c>
      <c r="B115" s="4">
        <v>928</v>
      </c>
      <c r="C115" s="7">
        <f>SUM(B115*B110)</f>
        <v>928</v>
      </c>
      <c r="D115" s="4">
        <v>0</v>
      </c>
      <c r="E115" s="7">
        <v>0</v>
      </c>
      <c r="F115" s="4">
        <v>6</v>
      </c>
      <c r="G115" s="7">
        <f>F115*F110</f>
        <v>60</v>
      </c>
      <c r="H115" s="4">
        <v>158</v>
      </c>
      <c r="I115" s="7">
        <f>SUM(H115*H110)</f>
        <v>158</v>
      </c>
      <c r="J115" s="4">
        <f>1+177+225</f>
        <v>403</v>
      </c>
      <c r="K115" s="7">
        <f>96+531+787.5+3.75+2449.4</f>
        <v>3867.65</v>
      </c>
      <c r="L115" s="6">
        <f t="shared" si="7"/>
        <v>135623</v>
      </c>
      <c r="M115" s="8">
        <f t="shared" si="7"/>
        <v>836710.9</v>
      </c>
    </row>
    <row r="116" spans="1:13" s="1" customFormat="1" ht="12.75">
      <c r="A116" s="3">
        <v>43525</v>
      </c>
      <c r="B116" s="4">
        <v>799</v>
      </c>
      <c r="C116" s="7">
        <f>SUM(B116*B110)</f>
        <v>799</v>
      </c>
      <c r="D116" s="4">
        <v>0</v>
      </c>
      <c r="E116" s="7">
        <v>0</v>
      </c>
      <c r="F116" s="4">
        <v>4</v>
      </c>
      <c r="G116" s="7">
        <f>F116*F110</f>
        <v>40</v>
      </c>
      <c r="H116" s="4">
        <v>174</v>
      </c>
      <c r="I116" s="7">
        <f>SUM(H116*H110)</f>
        <v>174</v>
      </c>
      <c r="J116" s="4">
        <f>2+218+227</f>
        <v>447</v>
      </c>
      <c r="K116" s="7">
        <f>279+654+794.5+2710.16</f>
        <v>4437.66</v>
      </c>
      <c r="L116" s="6">
        <f t="shared" si="7"/>
        <v>150950</v>
      </c>
      <c r="M116" s="8">
        <f t="shared" si="7"/>
        <v>931606.41</v>
      </c>
    </row>
    <row r="117" spans="1:13" s="1" customFormat="1" ht="12.75">
      <c r="A117" s="3">
        <v>43556</v>
      </c>
      <c r="B117" s="4">
        <v>1182</v>
      </c>
      <c r="C117" s="7">
        <f>SUM(B117*B110)</f>
        <v>1182</v>
      </c>
      <c r="D117" s="4">
        <v>0</v>
      </c>
      <c r="E117" s="7">
        <v>0</v>
      </c>
      <c r="F117" s="4">
        <v>4</v>
      </c>
      <c r="G117" s="7">
        <f>F117*F110</f>
        <v>40</v>
      </c>
      <c r="H117" s="4">
        <v>222</v>
      </c>
      <c r="I117" s="7">
        <f>SUM(H117*H110)</f>
        <v>222</v>
      </c>
      <c r="J117" s="4">
        <f>1+234+241</f>
        <v>476</v>
      </c>
      <c r="K117" s="7">
        <f>116+702+843.5+2159.06+29</f>
        <v>3849.56</v>
      </c>
      <c r="L117" s="6">
        <f t="shared" si="7"/>
        <v>122137</v>
      </c>
      <c r="M117" s="8">
        <f t="shared" si="7"/>
        <v>805593.31</v>
      </c>
    </row>
    <row r="118" spans="1:13" s="1" customFormat="1" ht="12.75">
      <c r="A118" s="3">
        <v>43586</v>
      </c>
      <c r="B118" s="4">
        <v>1196</v>
      </c>
      <c r="C118" s="7">
        <f>SUM(B118*B110)</f>
        <v>1196</v>
      </c>
      <c r="D118" s="4">
        <v>0</v>
      </c>
      <c r="E118" s="7">
        <v>0</v>
      </c>
      <c r="F118" s="4">
        <v>3</v>
      </c>
      <c r="G118" s="7">
        <f>F118*F110</f>
        <v>30</v>
      </c>
      <c r="H118" s="4">
        <v>191</v>
      </c>
      <c r="I118" s="7">
        <f>SUM(H118*H110)</f>
        <v>191</v>
      </c>
      <c r="J118" s="4">
        <f>8+197+256</f>
        <v>461</v>
      </c>
      <c r="K118" s="7">
        <f>253+591+896+2410.64+106.23</f>
        <v>4256.869999999999</v>
      </c>
      <c r="L118" s="6">
        <f t="shared" si="7"/>
        <v>142504</v>
      </c>
      <c r="M118" s="8">
        <f t="shared" si="7"/>
        <v>911559.87</v>
      </c>
    </row>
    <row r="119" spans="1:13" s="1" customFormat="1" ht="12.75">
      <c r="A119" s="3">
        <v>43617</v>
      </c>
      <c r="B119" s="4">
        <v>895</v>
      </c>
      <c r="C119" s="7">
        <f>SUM(B119*B110)</f>
        <v>895</v>
      </c>
      <c r="D119" s="4">
        <v>0</v>
      </c>
      <c r="E119" s="7">
        <v>0</v>
      </c>
      <c r="F119" s="4">
        <v>5</v>
      </c>
      <c r="G119" s="7">
        <f>F119*F110</f>
        <v>50</v>
      </c>
      <c r="H119" s="4">
        <v>176</v>
      </c>
      <c r="I119" s="7">
        <f>SUM(H119*H110)</f>
        <v>176</v>
      </c>
      <c r="J119" s="4">
        <f>31+285+211</f>
        <v>527</v>
      </c>
      <c r="K119" s="7">
        <f>1016+855+738.5+2537.73+28.33</f>
        <v>5175.5599999999995</v>
      </c>
      <c r="L119" s="6">
        <f t="shared" si="7"/>
        <v>139886</v>
      </c>
      <c r="M119" s="8">
        <f t="shared" si="7"/>
        <v>870683.56</v>
      </c>
    </row>
    <row r="120" spans="1:13" s="1" customFormat="1" ht="12.75">
      <c r="A120" s="3">
        <v>43647</v>
      </c>
      <c r="B120" s="4">
        <v>891</v>
      </c>
      <c r="C120" s="7">
        <f>SUM(B120*B110)</f>
        <v>891</v>
      </c>
      <c r="D120" s="4">
        <v>0</v>
      </c>
      <c r="E120" s="7">
        <v>0</v>
      </c>
      <c r="F120" s="4">
        <v>2</v>
      </c>
      <c r="G120" s="7">
        <f>F120*F110</f>
        <v>20</v>
      </c>
      <c r="H120" s="4">
        <v>118</v>
      </c>
      <c r="I120" s="7">
        <f>SUM(H120*H110)</f>
        <v>118</v>
      </c>
      <c r="J120" s="4">
        <f>15+280+234</f>
        <v>529</v>
      </c>
      <c r="K120" s="7">
        <f>553.25+840+819+2669.49+16</f>
        <v>4897.74</v>
      </c>
      <c r="L120" s="6">
        <f t="shared" si="7"/>
        <v>143873</v>
      </c>
      <c r="M120" s="8">
        <f t="shared" si="7"/>
        <v>920503.24</v>
      </c>
    </row>
    <row r="121" spans="1:13" s="1" customFormat="1" ht="12.75">
      <c r="A121" s="3">
        <v>43678</v>
      </c>
      <c r="B121" s="4">
        <v>1008</v>
      </c>
      <c r="C121" s="7">
        <f>SUM(B121*B110)</f>
        <v>1008</v>
      </c>
      <c r="D121" s="4">
        <v>0</v>
      </c>
      <c r="E121" s="7">
        <v>0</v>
      </c>
      <c r="F121" s="4">
        <v>2</v>
      </c>
      <c r="G121" s="7">
        <f>F121*F110</f>
        <v>20</v>
      </c>
      <c r="H121" s="4">
        <v>98</v>
      </c>
      <c r="I121" s="7">
        <f>SUM(H121*H110)</f>
        <v>98</v>
      </c>
      <c r="J121" s="4">
        <f>2+248+222</f>
        <v>472</v>
      </c>
      <c r="K121" s="7">
        <f>67+744+777+2757.76</f>
        <v>4345.76</v>
      </c>
      <c r="L121" s="6">
        <f t="shared" si="7"/>
        <v>150172</v>
      </c>
      <c r="M121" s="8">
        <f t="shared" si="7"/>
        <v>939913.76</v>
      </c>
    </row>
    <row r="122" spans="1:13" s="1" customFormat="1" ht="12.75">
      <c r="A122" s="3">
        <v>43709</v>
      </c>
      <c r="B122" s="4">
        <v>986</v>
      </c>
      <c r="C122" s="7">
        <f>SUM(B122*B110)</f>
        <v>986</v>
      </c>
      <c r="D122" s="4">
        <v>0</v>
      </c>
      <c r="E122" s="7">
        <v>0</v>
      </c>
      <c r="F122" s="4">
        <v>2</v>
      </c>
      <c r="G122" s="7">
        <f>F122*F110</f>
        <v>20</v>
      </c>
      <c r="H122" s="4">
        <v>116</v>
      </c>
      <c r="I122" s="7">
        <f>SUM(H122*H110)</f>
        <v>116</v>
      </c>
      <c r="J122" s="4">
        <f>225+225</f>
        <v>450</v>
      </c>
      <c r="K122" s="7">
        <f>675+787.5+2694.23+4.17</f>
        <v>4160.9</v>
      </c>
      <c r="L122" s="6">
        <f t="shared" si="7"/>
        <v>141363</v>
      </c>
      <c r="M122" s="8">
        <f t="shared" si="7"/>
        <v>873771.9</v>
      </c>
    </row>
    <row r="123" spans="1:13" s="1" customFormat="1" ht="13.5" thickBot="1">
      <c r="A123" s="13" t="s">
        <v>36</v>
      </c>
      <c r="B123" s="14">
        <f aca="true" t="shared" si="8" ref="B123:M123">SUM(B111:B122)</f>
        <v>11285</v>
      </c>
      <c r="C123" s="16">
        <f t="shared" si="8"/>
        <v>11285</v>
      </c>
      <c r="D123" s="17">
        <f t="shared" si="8"/>
        <v>0</v>
      </c>
      <c r="E123" s="16">
        <f t="shared" si="8"/>
        <v>0</v>
      </c>
      <c r="F123" s="17">
        <f t="shared" si="8"/>
        <v>60</v>
      </c>
      <c r="G123" s="16">
        <f t="shared" si="8"/>
        <v>600</v>
      </c>
      <c r="H123" s="17">
        <f t="shared" si="8"/>
        <v>1815</v>
      </c>
      <c r="I123" s="16">
        <f t="shared" si="8"/>
        <v>1815</v>
      </c>
      <c r="J123" s="14">
        <f t="shared" si="8"/>
        <v>5738</v>
      </c>
      <c r="K123" s="16">
        <f t="shared" si="8"/>
        <v>54205.75000000001</v>
      </c>
      <c r="L123" s="18">
        <f t="shared" si="8"/>
        <v>1716300</v>
      </c>
      <c r="M123" s="19">
        <f t="shared" si="8"/>
        <v>10665098.25</v>
      </c>
    </row>
    <row r="124" spans="1:13" s="1" customFormat="1" ht="1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s="1" customFormat="1" ht="1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s="1" customFormat="1" ht="12">
      <c r="A126" s="20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s="1" customFormat="1" ht="15.75">
      <c r="A127" s="11" t="s">
        <v>24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s="1" customFormat="1" ht="17.25" customHeight="1">
      <c r="A128" s="33" t="s">
        <v>33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s="1" customFormat="1" ht="17.25" customHeight="1">
      <c r="A129" s="34" t="s">
        <v>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s="1" customFormat="1" ht="17.2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="1" customFormat="1" ht="17.25" customHeight="1"/>
    <row r="132" s="1" customFormat="1" ht="17.25" customHeight="1"/>
    <row r="133" spans="1:13" s="1" customFormat="1" ht="13.5" customHeight="1">
      <c r="A133" s="11" t="s">
        <v>35</v>
      </c>
      <c r="B133" s="10"/>
      <c r="C133" s="10"/>
      <c r="D133" s="10"/>
      <c r="E133" s="12"/>
      <c r="F133" s="10"/>
      <c r="G133" s="10"/>
      <c r="H133" s="10"/>
      <c r="I133" s="10"/>
      <c r="J133" s="9"/>
      <c r="K133" s="9"/>
      <c r="L133" s="10"/>
      <c r="M133" s="10"/>
    </row>
    <row r="134" spans="1:13" ht="13.5" thickBo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21" t="s">
        <v>1</v>
      </c>
      <c r="B135" s="22" t="s">
        <v>31</v>
      </c>
      <c r="C135" s="22" t="s">
        <v>27</v>
      </c>
      <c r="D135" s="22" t="s">
        <v>2</v>
      </c>
      <c r="E135" s="22" t="s">
        <v>10</v>
      </c>
      <c r="F135" s="22" t="s">
        <v>3</v>
      </c>
      <c r="G135" s="23" t="s">
        <v>11</v>
      </c>
      <c r="H135" s="22" t="s">
        <v>4</v>
      </c>
      <c r="I135" s="23" t="s">
        <v>12</v>
      </c>
      <c r="J135" s="22" t="s">
        <v>5</v>
      </c>
      <c r="K135" s="23" t="s">
        <v>13</v>
      </c>
      <c r="L135" s="21" t="s">
        <v>6</v>
      </c>
      <c r="M135" s="22" t="s">
        <v>14</v>
      </c>
    </row>
    <row r="136" spans="1:13" ht="13.5" thickBot="1">
      <c r="A136" s="24" t="s">
        <v>8</v>
      </c>
      <c r="B136" s="25">
        <v>3.75</v>
      </c>
      <c r="C136" s="26" t="s">
        <v>15</v>
      </c>
      <c r="D136" s="25">
        <v>11</v>
      </c>
      <c r="E136" s="26" t="s">
        <v>15</v>
      </c>
      <c r="F136" s="25">
        <v>15</v>
      </c>
      <c r="G136" s="27" t="s">
        <v>15</v>
      </c>
      <c r="H136" s="25">
        <v>17.25</v>
      </c>
      <c r="I136" s="27" t="s">
        <v>15</v>
      </c>
      <c r="J136" s="25">
        <v>22</v>
      </c>
      <c r="K136" s="27" t="s">
        <v>15</v>
      </c>
      <c r="L136" s="28">
        <v>25</v>
      </c>
      <c r="M136" s="26" t="s">
        <v>15</v>
      </c>
    </row>
    <row r="137" spans="1:13" ht="12.75">
      <c r="A137" s="3">
        <v>43374</v>
      </c>
      <c r="B137" s="4">
        <f aca="true" t="shared" si="9" ref="B137:M148">B11+B53+B95</f>
        <v>259129</v>
      </c>
      <c r="C137" s="5">
        <f t="shared" si="9"/>
        <v>971733.75</v>
      </c>
      <c r="D137" s="4">
        <f t="shared" si="9"/>
        <v>2548</v>
      </c>
      <c r="E137" s="5">
        <f t="shared" si="9"/>
        <v>28028</v>
      </c>
      <c r="F137" s="4">
        <f t="shared" si="9"/>
        <v>2028</v>
      </c>
      <c r="G137" s="5">
        <f t="shared" si="9"/>
        <v>30420</v>
      </c>
      <c r="H137" s="4">
        <f t="shared" si="9"/>
        <v>106</v>
      </c>
      <c r="I137" s="5">
        <f t="shared" si="9"/>
        <v>1828.5</v>
      </c>
      <c r="J137" s="4">
        <f t="shared" si="9"/>
        <v>18787</v>
      </c>
      <c r="K137" s="5">
        <f t="shared" si="9"/>
        <v>413314</v>
      </c>
      <c r="L137" s="4">
        <f t="shared" si="9"/>
        <v>1454</v>
      </c>
      <c r="M137" s="5">
        <f t="shared" si="9"/>
        <v>36350</v>
      </c>
    </row>
    <row r="138" spans="1:13" ht="12.75">
      <c r="A138" s="3">
        <v>43405</v>
      </c>
      <c r="B138" s="4">
        <f t="shared" si="9"/>
        <v>256940</v>
      </c>
      <c r="C138" s="5">
        <f t="shared" si="9"/>
        <v>963525</v>
      </c>
      <c r="D138" s="4">
        <f t="shared" si="9"/>
        <v>2306</v>
      </c>
      <c r="E138" s="5">
        <f t="shared" si="9"/>
        <v>25366</v>
      </c>
      <c r="F138" s="4">
        <f t="shared" si="9"/>
        <v>2223</v>
      </c>
      <c r="G138" s="5">
        <f t="shared" si="9"/>
        <v>33345</v>
      </c>
      <c r="H138" s="4">
        <f t="shared" si="9"/>
        <v>62</v>
      </c>
      <c r="I138" s="5">
        <f t="shared" si="9"/>
        <v>1069.5</v>
      </c>
      <c r="J138" s="4">
        <f t="shared" si="9"/>
        <v>17011</v>
      </c>
      <c r="K138" s="5">
        <f t="shared" si="9"/>
        <v>374242</v>
      </c>
      <c r="L138" s="4">
        <f t="shared" si="9"/>
        <v>1139</v>
      </c>
      <c r="M138" s="5">
        <f t="shared" si="9"/>
        <v>28475</v>
      </c>
    </row>
    <row r="139" spans="1:13" ht="12.75">
      <c r="A139" s="3">
        <v>43435</v>
      </c>
      <c r="B139" s="4">
        <f t="shared" si="9"/>
        <v>286908</v>
      </c>
      <c r="C139" s="5">
        <f t="shared" si="9"/>
        <v>1075905</v>
      </c>
      <c r="D139" s="4">
        <f t="shared" si="9"/>
        <v>1893</v>
      </c>
      <c r="E139" s="5">
        <f t="shared" si="9"/>
        <v>20823</v>
      </c>
      <c r="F139" s="4">
        <f t="shared" si="9"/>
        <v>1902</v>
      </c>
      <c r="G139" s="5">
        <f t="shared" si="9"/>
        <v>28530</v>
      </c>
      <c r="H139" s="4">
        <f t="shared" si="9"/>
        <v>47</v>
      </c>
      <c r="I139" s="5">
        <f t="shared" si="9"/>
        <v>810.75</v>
      </c>
      <c r="J139" s="4">
        <f t="shared" si="9"/>
        <v>14037</v>
      </c>
      <c r="K139" s="5">
        <f t="shared" si="9"/>
        <v>308814</v>
      </c>
      <c r="L139" s="4">
        <f t="shared" si="9"/>
        <v>1079</v>
      </c>
      <c r="M139" s="5">
        <f t="shared" si="9"/>
        <v>26975</v>
      </c>
    </row>
    <row r="140" spans="1:13" ht="12.75">
      <c r="A140" s="3">
        <v>43466</v>
      </c>
      <c r="B140" s="4">
        <f t="shared" si="9"/>
        <v>258375</v>
      </c>
      <c r="C140" s="5">
        <f t="shared" si="9"/>
        <v>968906.25</v>
      </c>
      <c r="D140" s="4">
        <f t="shared" si="9"/>
        <v>2128</v>
      </c>
      <c r="E140" s="5">
        <f t="shared" si="9"/>
        <v>23408</v>
      </c>
      <c r="F140" s="4">
        <f t="shared" si="9"/>
        <v>2262</v>
      </c>
      <c r="G140" s="5">
        <f t="shared" si="9"/>
        <v>33930</v>
      </c>
      <c r="H140" s="4">
        <f t="shared" si="9"/>
        <v>64</v>
      </c>
      <c r="I140" s="5">
        <f t="shared" si="9"/>
        <v>1104</v>
      </c>
      <c r="J140" s="4">
        <f t="shared" si="9"/>
        <v>17250</v>
      </c>
      <c r="K140" s="5">
        <f t="shared" si="9"/>
        <v>379500</v>
      </c>
      <c r="L140" s="4">
        <f t="shared" si="9"/>
        <v>1029</v>
      </c>
      <c r="M140" s="5">
        <f t="shared" si="9"/>
        <v>25725</v>
      </c>
    </row>
    <row r="141" spans="1:13" ht="12.75">
      <c r="A141" s="3">
        <v>43497</v>
      </c>
      <c r="B141" s="4">
        <f t="shared" si="9"/>
        <v>235210</v>
      </c>
      <c r="C141" s="5">
        <f t="shared" si="9"/>
        <v>882037.5</v>
      </c>
      <c r="D141" s="4">
        <f t="shared" si="9"/>
        <v>2044</v>
      </c>
      <c r="E141" s="5">
        <f t="shared" si="9"/>
        <v>22484</v>
      </c>
      <c r="F141" s="4">
        <f t="shared" si="9"/>
        <v>2074</v>
      </c>
      <c r="G141" s="5">
        <f t="shared" si="9"/>
        <v>31110</v>
      </c>
      <c r="H141" s="4">
        <f t="shared" si="9"/>
        <v>63</v>
      </c>
      <c r="I141" s="5">
        <f t="shared" si="9"/>
        <v>1086.75</v>
      </c>
      <c r="J141" s="4">
        <f t="shared" si="9"/>
        <v>16634</v>
      </c>
      <c r="K141" s="5">
        <f t="shared" si="9"/>
        <v>365948</v>
      </c>
      <c r="L141" s="4">
        <f t="shared" si="9"/>
        <v>940</v>
      </c>
      <c r="M141" s="5">
        <f t="shared" si="9"/>
        <v>23500</v>
      </c>
    </row>
    <row r="142" spans="1:13" ht="12.75">
      <c r="A142" s="3">
        <v>43525</v>
      </c>
      <c r="B142" s="4">
        <f t="shared" si="9"/>
        <v>265699</v>
      </c>
      <c r="C142" s="5">
        <f t="shared" si="9"/>
        <v>996371.25</v>
      </c>
      <c r="D142" s="4">
        <f t="shared" si="9"/>
        <v>2256</v>
      </c>
      <c r="E142" s="5">
        <f t="shared" si="9"/>
        <v>24816</v>
      </c>
      <c r="F142" s="4">
        <f t="shared" si="9"/>
        <v>2186</v>
      </c>
      <c r="G142" s="5">
        <f t="shared" si="9"/>
        <v>32790</v>
      </c>
      <c r="H142" s="4">
        <f t="shared" si="9"/>
        <v>75</v>
      </c>
      <c r="I142" s="5">
        <f t="shared" si="9"/>
        <v>1293.75</v>
      </c>
      <c r="J142" s="4">
        <f t="shared" si="9"/>
        <v>18219</v>
      </c>
      <c r="K142" s="5">
        <f t="shared" si="9"/>
        <v>400818</v>
      </c>
      <c r="L142" s="4">
        <f t="shared" si="9"/>
        <v>1023</v>
      </c>
      <c r="M142" s="5">
        <f t="shared" si="9"/>
        <v>25575</v>
      </c>
    </row>
    <row r="143" spans="1:13" ht="12.75">
      <c r="A143" s="3">
        <v>43556</v>
      </c>
      <c r="B143" s="4">
        <f t="shared" si="9"/>
        <v>204075</v>
      </c>
      <c r="C143" s="5">
        <f t="shared" si="9"/>
        <v>765281.25</v>
      </c>
      <c r="D143" s="4">
        <f t="shared" si="9"/>
        <v>2052</v>
      </c>
      <c r="E143" s="5">
        <f t="shared" si="9"/>
        <v>22572</v>
      </c>
      <c r="F143" s="4">
        <f t="shared" si="9"/>
        <v>1898</v>
      </c>
      <c r="G143" s="5">
        <f t="shared" si="9"/>
        <v>28470</v>
      </c>
      <c r="H143" s="4">
        <f t="shared" si="9"/>
        <v>61</v>
      </c>
      <c r="I143" s="5">
        <f t="shared" si="9"/>
        <v>1052.25</v>
      </c>
      <c r="J143" s="4">
        <f t="shared" si="9"/>
        <v>17202</v>
      </c>
      <c r="K143" s="5">
        <f t="shared" si="9"/>
        <v>378444</v>
      </c>
      <c r="L143" s="4">
        <f t="shared" si="9"/>
        <v>1028</v>
      </c>
      <c r="M143" s="5">
        <f t="shared" si="9"/>
        <v>25700</v>
      </c>
    </row>
    <row r="144" spans="1:13" ht="12.75">
      <c r="A144" s="3">
        <v>43586</v>
      </c>
      <c r="B144" s="4">
        <f t="shared" si="9"/>
        <v>245583</v>
      </c>
      <c r="C144" s="5">
        <f t="shared" si="9"/>
        <v>920936.25</v>
      </c>
      <c r="D144" s="4">
        <f t="shared" si="9"/>
        <v>2271</v>
      </c>
      <c r="E144" s="5">
        <f t="shared" si="9"/>
        <v>24981</v>
      </c>
      <c r="F144" s="4">
        <f t="shared" si="9"/>
        <v>2242</v>
      </c>
      <c r="G144" s="5">
        <f t="shared" si="9"/>
        <v>33630</v>
      </c>
      <c r="H144" s="4">
        <f t="shared" si="9"/>
        <v>48</v>
      </c>
      <c r="I144" s="5">
        <f t="shared" si="9"/>
        <v>828</v>
      </c>
      <c r="J144" s="4">
        <f t="shared" si="9"/>
        <v>18541</v>
      </c>
      <c r="K144" s="5">
        <f t="shared" si="9"/>
        <v>407902</v>
      </c>
      <c r="L144" s="4">
        <f t="shared" si="9"/>
        <v>1159</v>
      </c>
      <c r="M144" s="5">
        <f t="shared" si="9"/>
        <v>28975</v>
      </c>
    </row>
    <row r="145" spans="1:13" ht="12.75">
      <c r="A145" s="3">
        <v>43617</v>
      </c>
      <c r="B145" s="4">
        <f t="shared" si="9"/>
        <v>251792</v>
      </c>
      <c r="C145" s="5">
        <f t="shared" si="9"/>
        <v>944220</v>
      </c>
      <c r="D145" s="4">
        <f t="shared" si="9"/>
        <v>2091</v>
      </c>
      <c r="E145" s="5">
        <f t="shared" si="9"/>
        <v>23001</v>
      </c>
      <c r="F145" s="4">
        <f t="shared" si="9"/>
        <v>2452</v>
      </c>
      <c r="G145" s="5">
        <f t="shared" si="9"/>
        <v>36780</v>
      </c>
      <c r="H145" s="4">
        <f t="shared" si="9"/>
        <v>37</v>
      </c>
      <c r="I145" s="5">
        <f t="shared" si="9"/>
        <v>638.25</v>
      </c>
      <c r="J145" s="4">
        <f t="shared" si="9"/>
        <v>17282</v>
      </c>
      <c r="K145" s="5">
        <f t="shared" si="9"/>
        <v>380204</v>
      </c>
      <c r="L145" s="4">
        <f t="shared" si="9"/>
        <v>953</v>
      </c>
      <c r="M145" s="5">
        <f t="shared" si="9"/>
        <v>23825</v>
      </c>
    </row>
    <row r="146" spans="1:13" ht="12.75">
      <c r="A146" s="3">
        <v>43647</v>
      </c>
      <c r="B146" s="4">
        <f t="shared" si="9"/>
        <v>261152</v>
      </c>
      <c r="C146" s="5">
        <f t="shared" si="9"/>
        <v>979320</v>
      </c>
      <c r="D146" s="4">
        <f t="shared" si="9"/>
        <v>2236</v>
      </c>
      <c r="E146" s="5">
        <f t="shared" si="9"/>
        <v>24596</v>
      </c>
      <c r="F146" s="4">
        <f t="shared" si="9"/>
        <v>2805</v>
      </c>
      <c r="G146" s="5">
        <f t="shared" si="9"/>
        <v>42075</v>
      </c>
      <c r="H146" s="4">
        <f t="shared" si="9"/>
        <v>35</v>
      </c>
      <c r="I146" s="5">
        <f t="shared" si="9"/>
        <v>603.75</v>
      </c>
      <c r="J146" s="4">
        <f t="shared" si="9"/>
        <v>18894</v>
      </c>
      <c r="K146" s="5">
        <f t="shared" si="9"/>
        <v>415668</v>
      </c>
      <c r="L146" s="4">
        <f t="shared" si="9"/>
        <v>1087</v>
      </c>
      <c r="M146" s="5">
        <f t="shared" si="9"/>
        <v>27175</v>
      </c>
    </row>
    <row r="147" spans="1:13" ht="12.75">
      <c r="A147" s="3">
        <v>43678</v>
      </c>
      <c r="B147" s="4">
        <f t="shared" si="9"/>
        <v>265716</v>
      </c>
      <c r="C147" s="5">
        <f t="shared" si="9"/>
        <v>996435</v>
      </c>
      <c r="D147" s="4">
        <f t="shared" si="9"/>
        <v>2314</v>
      </c>
      <c r="E147" s="5">
        <f t="shared" si="9"/>
        <v>25454</v>
      </c>
      <c r="F147" s="4">
        <f t="shared" si="9"/>
        <v>2862</v>
      </c>
      <c r="G147" s="5">
        <f t="shared" si="9"/>
        <v>42930</v>
      </c>
      <c r="H147" s="4">
        <f t="shared" si="9"/>
        <v>40</v>
      </c>
      <c r="I147" s="5">
        <f t="shared" si="9"/>
        <v>690</v>
      </c>
      <c r="J147" s="4">
        <f t="shared" si="9"/>
        <v>18641</v>
      </c>
      <c r="K147" s="5">
        <f t="shared" si="9"/>
        <v>410102</v>
      </c>
      <c r="L147" s="4">
        <f t="shared" si="9"/>
        <v>1017</v>
      </c>
      <c r="M147" s="5">
        <f t="shared" si="9"/>
        <v>25425</v>
      </c>
    </row>
    <row r="148" spans="1:13" ht="12.75">
      <c r="A148" s="3">
        <v>43709</v>
      </c>
      <c r="B148" s="4">
        <f t="shared" si="9"/>
        <v>248437</v>
      </c>
      <c r="C148" s="5">
        <f t="shared" si="9"/>
        <v>931638.75</v>
      </c>
      <c r="D148" s="4">
        <f t="shared" si="9"/>
        <v>2103</v>
      </c>
      <c r="E148" s="5">
        <f t="shared" si="9"/>
        <v>23133</v>
      </c>
      <c r="F148" s="4">
        <f t="shared" si="9"/>
        <v>2566</v>
      </c>
      <c r="G148" s="5">
        <f t="shared" si="9"/>
        <v>38490</v>
      </c>
      <c r="H148" s="4">
        <f t="shared" si="9"/>
        <v>40</v>
      </c>
      <c r="I148" s="5">
        <f t="shared" si="9"/>
        <v>690</v>
      </c>
      <c r="J148" s="4">
        <f t="shared" si="9"/>
        <v>16599</v>
      </c>
      <c r="K148" s="5">
        <f t="shared" si="9"/>
        <v>365178</v>
      </c>
      <c r="L148" s="4">
        <f t="shared" si="9"/>
        <v>1166</v>
      </c>
      <c r="M148" s="5">
        <f t="shared" si="9"/>
        <v>29150</v>
      </c>
    </row>
    <row r="149" spans="1:13" ht="13.5" thickBot="1">
      <c r="A149" s="13" t="s">
        <v>36</v>
      </c>
      <c r="B149" s="14">
        <f aca="true" t="shared" si="10" ref="B149:M149">SUM(B137:B148)</f>
        <v>3039016</v>
      </c>
      <c r="C149" s="15">
        <f t="shared" si="10"/>
        <v>11396310</v>
      </c>
      <c r="D149" s="14">
        <f t="shared" si="10"/>
        <v>26242</v>
      </c>
      <c r="E149" s="15">
        <f t="shared" si="10"/>
        <v>288662</v>
      </c>
      <c r="F149" s="14">
        <f t="shared" si="10"/>
        <v>27500</v>
      </c>
      <c r="G149" s="15">
        <f t="shared" si="10"/>
        <v>412500</v>
      </c>
      <c r="H149" s="17">
        <f t="shared" si="10"/>
        <v>678</v>
      </c>
      <c r="I149" s="15">
        <f t="shared" si="10"/>
        <v>11695.5</v>
      </c>
      <c r="J149" s="14">
        <f t="shared" si="10"/>
        <v>209097</v>
      </c>
      <c r="K149" s="15">
        <f t="shared" si="10"/>
        <v>4600134</v>
      </c>
      <c r="L149" s="14">
        <f t="shared" si="10"/>
        <v>13074</v>
      </c>
      <c r="M149" s="15">
        <f t="shared" si="10"/>
        <v>326850</v>
      </c>
    </row>
    <row r="150" spans="1:13" ht="12.75" thickBo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21" t="s">
        <v>1</v>
      </c>
      <c r="B151" s="22" t="s">
        <v>16</v>
      </c>
      <c r="C151" s="22" t="s">
        <v>17</v>
      </c>
      <c r="D151" s="22" t="s">
        <v>25</v>
      </c>
      <c r="E151" s="22" t="s">
        <v>26</v>
      </c>
      <c r="F151" s="22" t="s">
        <v>18</v>
      </c>
      <c r="G151" s="22" t="s">
        <v>19</v>
      </c>
      <c r="H151" s="22" t="s">
        <v>7</v>
      </c>
      <c r="I151" s="22" t="s">
        <v>28</v>
      </c>
      <c r="J151" s="22" t="s">
        <v>20</v>
      </c>
      <c r="K151" s="22" t="s">
        <v>21</v>
      </c>
      <c r="L151" s="22" t="s">
        <v>22</v>
      </c>
      <c r="M151" s="22" t="s">
        <v>22</v>
      </c>
    </row>
    <row r="152" spans="1:13" ht="13.5" thickBot="1">
      <c r="A152" s="24" t="s">
        <v>8</v>
      </c>
      <c r="B152" s="25">
        <v>1</v>
      </c>
      <c r="C152" s="26" t="s">
        <v>15</v>
      </c>
      <c r="D152" s="25" t="s">
        <v>29</v>
      </c>
      <c r="E152" s="26" t="s">
        <v>15</v>
      </c>
      <c r="F152" s="25">
        <v>10</v>
      </c>
      <c r="G152" s="26" t="s">
        <v>15</v>
      </c>
      <c r="H152" s="25">
        <v>1</v>
      </c>
      <c r="I152" s="26" t="s">
        <v>15</v>
      </c>
      <c r="J152" s="26"/>
      <c r="K152" s="26" t="s">
        <v>15</v>
      </c>
      <c r="L152" s="26" t="s">
        <v>23</v>
      </c>
      <c r="M152" s="26" t="s">
        <v>9</v>
      </c>
    </row>
    <row r="153" spans="1:13" ht="12.75">
      <c r="A153" s="3">
        <v>43374</v>
      </c>
      <c r="B153" s="4">
        <f aca="true" t="shared" si="11" ref="B153:M164">B27+B69+B111</f>
        <v>2837</v>
      </c>
      <c r="C153" s="7">
        <f t="shared" si="11"/>
        <v>2837</v>
      </c>
      <c r="D153" s="4">
        <f t="shared" si="11"/>
        <v>6245</v>
      </c>
      <c r="E153" s="7">
        <f t="shared" si="11"/>
        <v>51737.75</v>
      </c>
      <c r="F153" s="4">
        <f t="shared" si="11"/>
        <v>556</v>
      </c>
      <c r="G153" s="7">
        <f t="shared" si="11"/>
        <v>5560</v>
      </c>
      <c r="H153" s="4">
        <f t="shared" si="11"/>
        <v>196245</v>
      </c>
      <c r="I153" s="7">
        <f t="shared" si="11"/>
        <v>196245</v>
      </c>
      <c r="J153" s="4">
        <f t="shared" si="11"/>
        <v>3021</v>
      </c>
      <c r="K153" s="7">
        <f t="shared" si="11"/>
        <v>32568.51</v>
      </c>
      <c r="L153" s="6">
        <f t="shared" si="11"/>
        <v>492956</v>
      </c>
      <c r="M153" s="8">
        <f t="shared" si="11"/>
        <v>1770622.51</v>
      </c>
    </row>
    <row r="154" spans="1:13" ht="12.75">
      <c r="A154" s="3">
        <v>43405</v>
      </c>
      <c r="B154" s="4">
        <f t="shared" si="11"/>
        <v>2364</v>
      </c>
      <c r="C154" s="7">
        <f t="shared" si="11"/>
        <v>2364</v>
      </c>
      <c r="D154" s="4">
        <f t="shared" si="11"/>
        <v>6306</v>
      </c>
      <c r="E154" s="7">
        <f t="shared" si="11"/>
        <v>52368</v>
      </c>
      <c r="F154" s="4">
        <f t="shared" si="11"/>
        <v>557</v>
      </c>
      <c r="G154" s="7">
        <f t="shared" si="11"/>
        <v>5570</v>
      </c>
      <c r="H154" s="4">
        <f t="shared" si="11"/>
        <v>189091</v>
      </c>
      <c r="I154" s="7">
        <f t="shared" si="11"/>
        <v>189091</v>
      </c>
      <c r="J154" s="4">
        <f t="shared" si="11"/>
        <v>3138</v>
      </c>
      <c r="K154" s="7">
        <f t="shared" si="11"/>
        <v>22284.89</v>
      </c>
      <c r="L154" s="6">
        <f t="shared" si="11"/>
        <v>481137</v>
      </c>
      <c r="M154" s="8">
        <f t="shared" si="11"/>
        <v>1697700.3900000001</v>
      </c>
    </row>
    <row r="155" spans="1:13" ht="12.75">
      <c r="A155" s="3">
        <v>43435</v>
      </c>
      <c r="B155" s="4">
        <f t="shared" si="11"/>
        <v>2433</v>
      </c>
      <c r="C155" s="7">
        <f t="shared" si="11"/>
        <v>2433</v>
      </c>
      <c r="D155" s="4">
        <f t="shared" si="11"/>
        <v>7691</v>
      </c>
      <c r="E155" s="7">
        <f t="shared" si="11"/>
        <v>63798.25</v>
      </c>
      <c r="F155" s="4">
        <f t="shared" si="11"/>
        <v>576</v>
      </c>
      <c r="G155" s="7">
        <f t="shared" si="11"/>
        <v>5760</v>
      </c>
      <c r="H155" s="4">
        <f t="shared" si="11"/>
        <v>206465</v>
      </c>
      <c r="I155" s="7">
        <f t="shared" si="11"/>
        <v>206465</v>
      </c>
      <c r="J155" s="4">
        <f t="shared" si="11"/>
        <v>3706</v>
      </c>
      <c r="K155" s="7">
        <f t="shared" si="11"/>
        <v>22108.35</v>
      </c>
      <c r="L155" s="6">
        <f t="shared" si="11"/>
        <v>526737</v>
      </c>
      <c r="M155" s="8">
        <f t="shared" si="11"/>
        <v>1762422.35</v>
      </c>
    </row>
    <row r="156" spans="1:13" ht="12.75">
      <c r="A156" s="3">
        <v>43466</v>
      </c>
      <c r="B156" s="4">
        <f t="shared" si="11"/>
        <v>2420</v>
      </c>
      <c r="C156" s="7">
        <f t="shared" si="11"/>
        <v>2420</v>
      </c>
      <c r="D156" s="4">
        <f t="shared" si="11"/>
        <v>3754</v>
      </c>
      <c r="E156" s="7">
        <f t="shared" si="11"/>
        <v>30413</v>
      </c>
      <c r="F156" s="4">
        <f t="shared" si="11"/>
        <v>556</v>
      </c>
      <c r="G156" s="7">
        <f t="shared" si="11"/>
        <v>5560</v>
      </c>
      <c r="H156" s="4">
        <f t="shared" si="11"/>
        <v>182000</v>
      </c>
      <c r="I156" s="7">
        <f t="shared" si="11"/>
        <v>182000</v>
      </c>
      <c r="J156" s="4">
        <f t="shared" si="11"/>
        <v>2013</v>
      </c>
      <c r="K156" s="7">
        <f t="shared" si="11"/>
        <v>13710.74</v>
      </c>
      <c r="L156" s="6">
        <f t="shared" si="11"/>
        <v>471851</v>
      </c>
      <c r="M156" s="8">
        <f t="shared" si="11"/>
        <v>1666676.99</v>
      </c>
    </row>
    <row r="157" spans="1:13" ht="12.75">
      <c r="A157" s="3">
        <v>43497</v>
      </c>
      <c r="B157" s="4">
        <f t="shared" si="11"/>
        <v>2568</v>
      </c>
      <c r="C157" s="7">
        <f t="shared" si="11"/>
        <v>2568</v>
      </c>
      <c r="D157" s="4">
        <f t="shared" si="11"/>
        <v>5215</v>
      </c>
      <c r="E157" s="7">
        <f t="shared" si="11"/>
        <v>42712.25</v>
      </c>
      <c r="F157" s="4">
        <f t="shared" si="11"/>
        <v>491</v>
      </c>
      <c r="G157" s="7">
        <f t="shared" si="11"/>
        <v>4910</v>
      </c>
      <c r="H157" s="4">
        <f t="shared" si="11"/>
        <v>179260</v>
      </c>
      <c r="I157" s="7">
        <f t="shared" si="11"/>
        <v>179260</v>
      </c>
      <c r="J157" s="4">
        <f t="shared" si="11"/>
        <v>2351</v>
      </c>
      <c r="K157" s="7">
        <f t="shared" si="11"/>
        <v>14634.59</v>
      </c>
      <c r="L157" s="6">
        <f t="shared" si="11"/>
        <v>446850</v>
      </c>
      <c r="M157" s="8">
        <f t="shared" si="11"/>
        <v>1570251.09</v>
      </c>
    </row>
    <row r="158" spans="1:13" ht="12.75">
      <c r="A158" s="3">
        <v>43525</v>
      </c>
      <c r="B158" s="4">
        <f t="shared" si="11"/>
        <v>2437</v>
      </c>
      <c r="C158" s="7">
        <f t="shared" si="11"/>
        <v>2437</v>
      </c>
      <c r="D158" s="4">
        <f t="shared" si="11"/>
        <v>5273</v>
      </c>
      <c r="E158" s="7">
        <f t="shared" si="11"/>
        <v>43406.75</v>
      </c>
      <c r="F158" s="4">
        <f t="shared" si="11"/>
        <v>563</v>
      </c>
      <c r="G158" s="7">
        <f t="shared" si="11"/>
        <v>5630</v>
      </c>
      <c r="H158" s="4">
        <f t="shared" si="11"/>
        <v>197078</v>
      </c>
      <c r="I158" s="7">
        <f t="shared" si="11"/>
        <v>197078</v>
      </c>
      <c r="J158" s="4">
        <f t="shared" si="11"/>
        <v>2681</v>
      </c>
      <c r="K158" s="7">
        <f t="shared" si="11"/>
        <v>17494.47</v>
      </c>
      <c r="L158" s="6">
        <f t="shared" si="11"/>
        <v>497490</v>
      </c>
      <c r="M158" s="8">
        <f t="shared" si="11"/>
        <v>1747710.2200000002</v>
      </c>
    </row>
    <row r="159" spans="1:13" ht="12.75">
      <c r="A159" s="3">
        <v>43556</v>
      </c>
      <c r="B159" s="4">
        <f t="shared" si="11"/>
        <v>3933</v>
      </c>
      <c r="C159" s="7">
        <f t="shared" si="11"/>
        <v>3933</v>
      </c>
      <c r="D159" s="4">
        <f t="shared" si="11"/>
        <v>5638</v>
      </c>
      <c r="E159" s="7">
        <f t="shared" si="11"/>
        <v>46690.5</v>
      </c>
      <c r="F159" s="4">
        <f t="shared" si="11"/>
        <v>520</v>
      </c>
      <c r="G159" s="7">
        <f t="shared" si="11"/>
        <v>5200</v>
      </c>
      <c r="H159" s="4">
        <f t="shared" si="11"/>
        <v>206524</v>
      </c>
      <c r="I159" s="7">
        <f t="shared" si="11"/>
        <v>206524</v>
      </c>
      <c r="J159" s="4">
        <f t="shared" si="11"/>
        <v>2791</v>
      </c>
      <c r="K159" s="7">
        <f t="shared" si="11"/>
        <v>17383.97</v>
      </c>
      <c r="L159" s="6">
        <f t="shared" si="11"/>
        <v>445722</v>
      </c>
      <c r="M159" s="8">
        <f t="shared" si="11"/>
        <v>1501250.9700000002</v>
      </c>
    </row>
    <row r="160" spans="1:13" ht="12.75">
      <c r="A160" s="3">
        <v>43586</v>
      </c>
      <c r="B160" s="4">
        <f t="shared" si="11"/>
        <v>4949</v>
      </c>
      <c r="C160" s="7">
        <f t="shared" si="11"/>
        <v>4949</v>
      </c>
      <c r="D160" s="4">
        <f t="shared" si="11"/>
        <v>5613</v>
      </c>
      <c r="E160" s="7">
        <f t="shared" si="11"/>
        <v>46451.25</v>
      </c>
      <c r="F160" s="4">
        <f t="shared" si="11"/>
        <v>518</v>
      </c>
      <c r="G160" s="7">
        <f t="shared" si="11"/>
        <v>5180</v>
      </c>
      <c r="H160" s="4">
        <f t="shared" si="11"/>
        <v>202783</v>
      </c>
      <c r="I160" s="7">
        <f t="shared" si="11"/>
        <v>202783</v>
      </c>
      <c r="J160" s="4">
        <f t="shared" si="11"/>
        <v>2692</v>
      </c>
      <c r="K160" s="7">
        <f t="shared" si="11"/>
        <v>17587.1</v>
      </c>
      <c r="L160" s="6">
        <f t="shared" si="11"/>
        <v>486399</v>
      </c>
      <c r="M160" s="8">
        <f t="shared" si="11"/>
        <v>1694202.6</v>
      </c>
    </row>
    <row r="161" spans="1:13" ht="12.75">
      <c r="A161" s="3">
        <v>43617</v>
      </c>
      <c r="B161" s="4">
        <f t="shared" si="11"/>
        <v>3946</v>
      </c>
      <c r="C161" s="7">
        <f t="shared" si="11"/>
        <v>3946</v>
      </c>
      <c r="D161" s="4">
        <f t="shared" si="11"/>
        <v>5047</v>
      </c>
      <c r="E161" s="7">
        <f t="shared" si="11"/>
        <v>41627.25</v>
      </c>
      <c r="F161" s="4">
        <f t="shared" si="11"/>
        <v>527</v>
      </c>
      <c r="G161" s="7">
        <f t="shared" si="11"/>
        <v>5270</v>
      </c>
      <c r="H161" s="4">
        <f t="shared" si="11"/>
        <v>183198</v>
      </c>
      <c r="I161" s="7">
        <f t="shared" si="11"/>
        <v>183198</v>
      </c>
      <c r="J161" s="4">
        <f t="shared" si="11"/>
        <v>2695</v>
      </c>
      <c r="K161" s="7">
        <f t="shared" si="11"/>
        <v>17490.67</v>
      </c>
      <c r="L161" s="6">
        <f t="shared" si="11"/>
        <v>470020</v>
      </c>
      <c r="M161" s="8">
        <f t="shared" si="11"/>
        <v>1660200.17</v>
      </c>
    </row>
    <row r="162" spans="1:13" ht="12.75">
      <c r="A162" s="3">
        <v>43647</v>
      </c>
      <c r="B162" s="4">
        <f t="shared" si="11"/>
        <v>4224</v>
      </c>
      <c r="C162" s="7">
        <f t="shared" si="11"/>
        <v>4224</v>
      </c>
      <c r="D162" s="4">
        <f t="shared" si="11"/>
        <v>6007</v>
      </c>
      <c r="E162" s="7">
        <f t="shared" si="11"/>
        <v>49896.75</v>
      </c>
      <c r="F162" s="4">
        <f t="shared" si="11"/>
        <v>533</v>
      </c>
      <c r="G162" s="7">
        <f t="shared" si="11"/>
        <v>5330</v>
      </c>
      <c r="H162" s="4">
        <f t="shared" si="11"/>
        <v>185361</v>
      </c>
      <c r="I162" s="7">
        <f t="shared" si="11"/>
        <v>185361</v>
      </c>
      <c r="J162" s="4">
        <f t="shared" si="11"/>
        <v>3111</v>
      </c>
      <c r="K162" s="7">
        <f t="shared" si="11"/>
        <v>20988.81</v>
      </c>
      <c r="L162" s="6">
        <f t="shared" si="11"/>
        <v>485445</v>
      </c>
      <c r="M162" s="8">
        <f t="shared" si="11"/>
        <v>1755238.31</v>
      </c>
    </row>
    <row r="163" spans="1:13" ht="12.75">
      <c r="A163" s="3">
        <v>43678</v>
      </c>
      <c r="B163" s="4">
        <f t="shared" si="11"/>
        <v>4949</v>
      </c>
      <c r="C163" s="7">
        <f t="shared" si="11"/>
        <v>4949</v>
      </c>
      <c r="D163" s="4">
        <f t="shared" si="11"/>
        <v>5683</v>
      </c>
      <c r="E163" s="7">
        <f t="shared" si="11"/>
        <v>47196.75</v>
      </c>
      <c r="F163" s="4">
        <f t="shared" si="11"/>
        <v>547</v>
      </c>
      <c r="G163" s="7">
        <f t="shared" si="11"/>
        <v>5470</v>
      </c>
      <c r="H163" s="4">
        <f t="shared" si="11"/>
        <v>197185</v>
      </c>
      <c r="I163" s="7">
        <f t="shared" si="11"/>
        <v>197185</v>
      </c>
      <c r="J163" s="4">
        <f t="shared" si="11"/>
        <v>2954</v>
      </c>
      <c r="K163" s="7">
        <f t="shared" si="11"/>
        <v>24825.03</v>
      </c>
      <c r="L163" s="6">
        <f t="shared" si="11"/>
        <v>501908</v>
      </c>
      <c r="M163" s="8">
        <f t="shared" si="11"/>
        <v>1780661.78</v>
      </c>
    </row>
    <row r="164" spans="1:13" ht="12.75">
      <c r="A164" s="3">
        <v>43709</v>
      </c>
      <c r="B164" s="4">
        <f t="shared" si="11"/>
        <v>4831</v>
      </c>
      <c r="C164" s="7">
        <f t="shared" si="11"/>
        <v>4831</v>
      </c>
      <c r="D164" s="4">
        <f t="shared" si="11"/>
        <v>5524</v>
      </c>
      <c r="E164" s="7">
        <f t="shared" si="11"/>
        <v>46034.5</v>
      </c>
      <c r="F164" s="4">
        <f t="shared" si="11"/>
        <v>521</v>
      </c>
      <c r="G164" s="7">
        <f t="shared" si="11"/>
        <v>5210</v>
      </c>
      <c r="H164" s="4">
        <f t="shared" si="11"/>
        <v>191265</v>
      </c>
      <c r="I164" s="7">
        <f t="shared" si="11"/>
        <v>191265</v>
      </c>
      <c r="J164" s="4">
        <f t="shared" si="11"/>
        <v>2800</v>
      </c>
      <c r="K164" s="7">
        <f t="shared" si="11"/>
        <v>25244.910000000003</v>
      </c>
      <c r="L164" s="6">
        <f t="shared" si="11"/>
        <v>475852</v>
      </c>
      <c r="M164" s="8">
        <f t="shared" si="11"/>
        <v>1660865.1600000001</v>
      </c>
    </row>
    <row r="165" spans="1:13" ht="13.5" thickBot="1">
      <c r="A165" s="13" t="s">
        <v>36</v>
      </c>
      <c r="B165" s="14">
        <f aca="true" t="shared" si="12" ref="B165:M165">SUM(B153:B164)</f>
        <v>41891</v>
      </c>
      <c r="C165" s="16">
        <f t="shared" si="12"/>
        <v>41891</v>
      </c>
      <c r="D165" s="14">
        <f t="shared" si="12"/>
        <v>67996</v>
      </c>
      <c r="E165" s="16">
        <f t="shared" si="12"/>
        <v>562333</v>
      </c>
      <c r="F165" s="14">
        <f t="shared" si="12"/>
        <v>6465</v>
      </c>
      <c r="G165" s="16">
        <f t="shared" si="12"/>
        <v>64650</v>
      </c>
      <c r="H165" s="14">
        <f t="shared" si="12"/>
        <v>2316455</v>
      </c>
      <c r="I165" s="16">
        <f t="shared" si="12"/>
        <v>2316455</v>
      </c>
      <c r="J165" s="14">
        <f t="shared" si="12"/>
        <v>33953</v>
      </c>
      <c r="K165" s="16">
        <f t="shared" si="12"/>
        <v>246322.04000000004</v>
      </c>
      <c r="L165" s="18">
        <f t="shared" si="12"/>
        <v>5782367</v>
      </c>
      <c r="M165" s="19">
        <f t="shared" si="12"/>
        <v>20267802.540000003</v>
      </c>
    </row>
    <row r="166" spans="1:13" ht="1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ht="12">
      <c r="A168" s="20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.75">
      <c r="A169" s="11" t="s">
        <v>24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</sheetData>
  <sheetProtection/>
  <mergeCells count="12">
    <mergeCell ref="A2:M2"/>
    <mergeCell ref="A3:M3"/>
    <mergeCell ref="A41:M41"/>
    <mergeCell ref="A44:M44"/>
    <mergeCell ref="A45:M45"/>
    <mergeCell ref="A83:M83"/>
    <mergeCell ref="A86:M86"/>
    <mergeCell ref="A87:M87"/>
    <mergeCell ref="A125:M125"/>
    <mergeCell ref="A128:M128"/>
    <mergeCell ref="A129:M129"/>
    <mergeCell ref="A167:M167"/>
  </mergeCells>
  <printOptions horizontalCentered="1"/>
  <pageMargins left="0.25" right="0.25" top="0.66" bottom="0.23" header="0.28" footer="0.25"/>
  <pageSetup horizontalDpi="600" verticalDpi="600" orientation="landscape" scale="85" r:id="rId2"/>
  <rowBreaks count="3" manualBreakCount="3">
    <brk id="43" max="12" man="1"/>
    <brk id="85" max="12" man="1"/>
    <brk id="12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9"/>
  <sheetViews>
    <sheetView zoomScalePageLayoutView="0" workbookViewId="0" topLeftCell="A1">
      <selection activeCell="M139" sqref="M139"/>
    </sheetView>
  </sheetViews>
  <sheetFormatPr defaultColWidth="9.00390625" defaultRowHeight="12.75"/>
  <cols>
    <col min="1" max="1" width="8.00390625" style="0" customWidth="1"/>
    <col min="2" max="2" width="10.75390625" style="0" customWidth="1"/>
    <col min="3" max="3" width="14.125" style="0" customWidth="1"/>
    <col min="4" max="4" width="10.25390625" style="0" bestFit="1" customWidth="1"/>
    <col min="5" max="5" width="11.375" style="0" customWidth="1"/>
    <col min="6" max="6" width="9.75390625" style="0" customWidth="1"/>
    <col min="7" max="7" width="13.375" style="0" customWidth="1"/>
    <col min="8" max="8" width="8.75390625" style="0" customWidth="1"/>
    <col min="9" max="9" width="12.875" style="0" customWidth="1"/>
    <col min="10" max="10" width="8.75390625" style="0" bestFit="1" customWidth="1"/>
    <col min="11" max="11" width="13.375" style="0" customWidth="1"/>
    <col min="12" max="12" width="10.50390625" style="0" customWidth="1"/>
    <col min="13" max="13" width="13.50390625" style="0" customWidth="1"/>
  </cols>
  <sheetData>
    <row r="1" s="1" customFormat="1" ht="17.25" customHeight="1"/>
    <row r="2" spans="1:13" s="1" customFormat="1" ht="17.25" customHeight="1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" customFormat="1" ht="17.2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17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="1" customFormat="1" ht="17.25" customHeight="1"/>
    <row r="6" s="1" customFormat="1" ht="17.25" customHeight="1"/>
    <row r="7" spans="1:13" s="1" customFormat="1" ht="13.5" customHeight="1">
      <c r="A7" s="11" t="s">
        <v>37</v>
      </c>
      <c r="B7" s="10"/>
      <c r="C7" s="10"/>
      <c r="D7" s="10"/>
      <c r="E7" s="12"/>
      <c r="F7" s="10"/>
      <c r="G7" s="10"/>
      <c r="H7" s="10"/>
      <c r="I7" s="10"/>
      <c r="J7" s="9"/>
      <c r="K7" s="9"/>
      <c r="L7" s="10"/>
      <c r="M7" s="10"/>
    </row>
    <row r="8" spans="1:13" s="1" customFormat="1" ht="13.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s="1" customFormat="1" ht="12.75">
      <c r="A9" s="21" t="s">
        <v>1</v>
      </c>
      <c r="B9" s="22" t="s">
        <v>31</v>
      </c>
      <c r="C9" s="22" t="s">
        <v>27</v>
      </c>
      <c r="D9" s="22" t="s">
        <v>2</v>
      </c>
      <c r="E9" s="22" t="s">
        <v>10</v>
      </c>
      <c r="F9" s="22" t="s">
        <v>3</v>
      </c>
      <c r="G9" s="23" t="s">
        <v>11</v>
      </c>
      <c r="H9" s="22" t="s">
        <v>4</v>
      </c>
      <c r="I9" s="23" t="s">
        <v>12</v>
      </c>
      <c r="J9" s="22" t="s">
        <v>5</v>
      </c>
      <c r="K9" s="23" t="s">
        <v>13</v>
      </c>
      <c r="L9" s="21" t="s">
        <v>6</v>
      </c>
      <c r="M9" s="22" t="s">
        <v>14</v>
      </c>
    </row>
    <row r="10" spans="1:13" s="2" customFormat="1" ht="13.5" thickBot="1">
      <c r="A10" s="24" t="s">
        <v>8</v>
      </c>
      <c r="B10" s="25">
        <v>3.75</v>
      </c>
      <c r="C10" s="26" t="s">
        <v>15</v>
      </c>
      <c r="D10" s="30" t="s">
        <v>39</v>
      </c>
      <c r="E10" s="26" t="s">
        <v>15</v>
      </c>
      <c r="F10" s="30" t="s">
        <v>40</v>
      </c>
      <c r="G10" s="27" t="s">
        <v>15</v>
      </c>
      <c r="H10" s="32" t="s">
        <v>41</v>
      </c>
      <c r="I10" s="27" t="s">
        <v>15</v>
      </c>
      <c r="J10" s="30" t="s">
        <v>42</v>
      </c>
      <c r="K10" s="27" t="s">
        <v>15</v>
      </c>
      <c r="L10" s="31" t="s">
        <v>43</v>
      </c>
      <c r="M10" s="26" t="s">
        <v>15</v>
      </c>
    </row>
    <row r="11" spans="1:13" s="2" customFormat="1" ht="12.75">
      <c r="A11" s="3">
        <v>43739</v>
      </c>
      <c r="B11" s="4">
        <v>98666</v>
      </c>
      <c r="C11" s="5">
        <f>SUM(B11*B10)</f>
        <v>369997.5</v>
      </c>
      <c r="D11" s="4">
        <v>0</v>
      </c>
      <c r="E11" s="5">
        <v>0</v>
      </c>
      <c r="F11" s="4">
        <v>0</v>
      </c>
      <c r="G11" s="5">
        <v>0</v>
      </c>
      <c r="H11" s="4">
        <v>0</v>
      </c>
      <c r="I11" s="5">
        <v>0</v>
      </c>
      <c r="J11" s="4">
        <v>0</v>
      </c>
      <c r="K11" s="5">
        <v>0</v>
      </c>
      <c r="L11" s="4">
        <v>0</v>
      </c>
      <c r="M11" s="5">
        <v>0</v>
      </c>
    </row>
    <row r="12" spans="1:13" s="2" customFormat="1" ht="12.75">
      <c r="A12" s="3">
        <v>43770</v>
      </c>
      <c r="B12" s="4">
        <v>102832</v>
      </c>
      <c r="C12" s="5">
        <f>SUM(B12*B10)</f>
        <v>385620</v>
      </c>
      <c r="D12" s="4">
        <v>0</v>
      </c>
      <c r="E12" s="5">
        <v>0</v>
      </c>
      <c r="F12" s="4">
        <v>0</v>
      </c>
      <c r="G12" s="5">
        <v>0</v>
      </c>
      <c r="H12" s="4">
        <v>0</v>
      </c>
      <c r="I12" s="5">
        <v>0</v>
      </c>
      <c r="J12" s="4">
        <v>0</v>
      </c>
      <c r="K12" s="5">
        <v>0</v>
      </c>
      <c r="L12" s="4">
        <v>0</v>
      </c>
      <c r="M12" s="5">
        <v>0</v>
      </c>
    </row>
    <row r="13" spans="1:13" s="2" customFormat="1" ht="12.75">
      <c r="A13" s="3">
        <v>43800</v>
      </c>
      <c r="B13" s="4">
        <v>110223</v>
      </c>
      <c r="C13" s="5">
        <f>SUM(B13*B10)</f>
        <v>413336.25</v>
      </c>
      <c r="D13" s="4">
        <v>0</v>
      </c>
      <c r="E13" s="5">
        <v>0</v>
      </c>
      <c r="F13" s="4">
        <v>0</v>
      </c>
      <c r="G13" s="5">
        <v>0</v>
      </c>
      <c r="H13" s="4">
        <v>0</v>
      </c>
      <c r="I13" s="5">
        <v>0</v>
      </c>
      <c r="J13" s="4">
        <v>0</v>
      </c>
      <c r="K13" s="5">
        <v>0</v>
      </c>
      <c r="L13" s="4">
        <v>0</v>
      </c>
      <c r="M13" s="5">
        <v>0</v>
      </c>
    </row>
    <row r="14" spans="1:13" s="2" customFormat="1" ht="12.75">
      <c r="A14" s="3">
        <v>43831</v>
      </c>
      <c r="B14" s="4">
        <v>0</v>
      </c>
      <c r="C14" s="5">
        <f>SUM(B14*B10)</f>
        <v>0</v>
      </c>
      <c r="D14" s="4">
        <v>0</v>
      </c>
      <c r="E14" s="5">
        <v>0</v>
      </c>
      <c r="F14" s="4">
        <v>0</v>
      </c>
      <c r="G14" s="5">
        <v>0</v>
      </c>
      <c r="H14" s="4">
        <v>0</v>
      </c>
      <c r="I14" s="5">
        <v>0</v>
      </c>
      <c r="J14" s="4">
        <v>0</v>
      </c>
      <c r="K14" s="5">
        <v>0</v>
      </c>
      <c r="L14" s="4">
        <v>0</v>
      </c>
      <c r="M14" s="5">
        <v>0</v>
      </c>
    </row>
    <row r="15" spans="1:13" s="2" customFormat="1" ht="12.75">
      <c r="A15" s="3">
        <v>43862</v>
      </c>
      <c r="B15" s="4">
        <v>0</v>
      </c>
      <c r="C15" s="5">
        <f>SUM(B15*B10)</f>
        <v>0</v>
      </c>
      <c r="D15" s="4">
        <v>0</v>
      </c>
      <c r="E15" s="5">
        <v>0</v>
      </c>
      <c r="F15" s="4">
        <v>0</v>
      </c>
      <c r="G15" s="5">
        <v>0</v>
      </c>
      <c r="H15" s="4">
        <v>0</v>
      </c>
      <c r="I15" s="5">
        <v>0</v>
      </c>
      <c r="J15" s="4">
        <v>0</v>
      </c>
      <c r="K15" s="5">
        <v>0</v>
      </c>
      <c r="L15" s="4">
        <v>0</v>
      </c>
      <c r="M15" s="5">
        <v>0</v>
      </c>
    </row>
    <row r="16" spans="1:13" s="2" customFormat="1" ht="12.75">
      <c r="A16" s="3">
        <v>43891</v>
      </c>
      <c r="B16" s="4">
        <v>0</v>
      </c>
      <c r="C16" s="5">
        <f>SUM(B16*B10)</f>
        <v>0</v>
      </c>
      <c r="D16" s="4">
        <v>0</v>
      </c>
      <c r="E16" s="5">
        <v>0</v>
      </c>
      <c r="F16" s="4">
        <v>0</v>
      </c>
      <c r="G16" s="5">
        <v>0</v>
      </c>
      <c r="H16" s="4">
        <v>0</v>
      </c>
      <c r="I16" s="5">
        <v>0</v>
      </c>
      <c r="J16" s="4">
        <v>0</v>
      </c>
      <c r="K16" s="5">
        <v>0</v>
      </c>
      <c r="L16" s="4">
        <v>0</v>
      </c>
      <c r="M16" s="5">
        <v>0</v>
      </c>
    </row>
    <row r="17" spans="1:13" s="2" customFormat="1" ht="12.75">
      <c r="A17" s="3">
        <v>43922</v>
      </c>
      <c r="B17" s="4">
        <v>0</v>
      </c>
      <c r="C17" s="5">
        <f>SUM(B17*B10)</f>
        <v>0</v>
      </c>
      <c r="D17" s="4">
        <v>0</v>
      </c>
      <c r="E17" s="5">
        <v>0</v>
      </c>
      <c r="F17" s="4">
        <v>0</v>
      </c>
      <c r="G17" s="5">
        <v>0</v>
      </c>
      <c r="H17" s="4">
        <v>0</v>
      </c>
      <c r="I17" s="5">
        <v>0</v>
      </c>
      <c r="J17" s="4">
        <v>0</v>
      </c>
      <c r="K17" s="5">
        <v>0</v>
      </c>
      <c r="L17" s="4">
        <v>0</v>
      </c>
      <c r="M17" s="5">
        <v>0</v>
      </c>
    </row>
    <row r="18" spans="1:13" s="2" customFormat="1" ht="12.75">
      <c r="A18" s="3">
        <v>43952</v>
      </c>
      <c r="B18" s="4">
        <v>0</v>
      </c>
      <c r="C18" s="5">
        <f>SUM(B18*B10)</f>
        <v>0</v>
      </c>
      <c r="D18" s="4">
        <v>0</v>
      </c>
      <c r="E18" s="5">
        <v>0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5">
        <v>0</v>
      </c>
      <c r="L18" s="4">
        <v>0</v>
      </c>
      <c r="M18" s="5">
        <v>0</v>
      </c>
    </row>
    <row r="19" spans="1:13" s="2" customFormat="1" ht="12.75">
      <c r="A19" s="3">
        <v>43983</v>
      </c>
      <c r="B19" s="4">
        <v>0</v>
      </c>
      <c r="C19" s="5">
        <f>SUM(B19*B10)</f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  <c r="I19" s="5">
        <v>0</v>
      </c>
      <c r="J19" s="4">
        <v>0</v>
      </c>
      <c r="K19" s="5">
        <v>0</v>
      </c>
      <c r="L19" s="4">
        <v>0</v>
      </c>
      <c r="M19" s="5">
        <v>0</v>
      </c>
    </row>
    <row r="20" spans="1:13" s="2" customFormat="1" ht="12.75">
      <c r="A20" s="3">
        <v>44013</v>
      </c>
      <c r="B20" s="4">
        <v>0</v>
      </c>
      <c r="C20" s="5">
        <f>SUM(B20*B10)</f>
        <v>0</v>
      </c>
      <c r="D20" s="4">
        <v>0</v>
      </c>
      <c r="E20" s="5">
        <v>0</v>
      </c>
      <c r="F20" s="4">
        <v>0</v>
      </c>
      <c r="G20" s="5">
        <v>0</v>
      </c>
      <c r="H20" s="4">
        <v>0</v>
      </c>
      <c r="I20" s="5">
        <v>0</v>
      </c>
      <c r="J20" s="4">
        <v>0</v>
      </c>
      <c r="K20" s="5">
        <v>0</v>
      </c>
      <c r="L20" s="4">
        <v>0</v>
      </c>
      <c r="M20" s="5">
        <v>0</v>
      </c>
    </row>
    <row r="21" spans="1:13" s="2" customFormat="1" ht="12.75">
      <c r="A21" s="3">
        <v>44044</v>
      </c>
      <c r="B21" s="4">
        <v>0</v>
      </c>
      <c r="C21" s="5">
        <f>SUM(B21*B10)</f>
        <v>0</v>
      </c>
      <c r="D21" s="4">
        <v>0</v>
      </c>
      <c r="E21" s="5">
        <v>0</v>
      </c>
      <c r="F21" s="4">
        <v>0</v>
      </c>
      <c r="G21" s="5">
        <v>0</v>
      </c>
      <c r="H21" s="4">
        <v>0</v>
      </c>
      <c r="I21" s="5">
        <v>0</v>
      </c>
      <c r="J21" s="4">
        <v>0</v>
      </c>
      <c r="K21" s="5">
        <v>0</v>
      </c>
      <c r="L21" s="4">
        <v>0</v>
      </c>
      <c r="M21" s="5">
        <v>0</v>
      </c>
    </row>
    <row r="22" spans="1:13" s="2" customFormat="1" ht="12.75">
      <c r="A22" s="3">
        <v>44075</v>
      </c>
      <c r="B22" s="4">
        <v>0</v>
      </c>
      <c r="C22" s="5">
        <f>SUM(B22*B10)</f>
        <v>0</v>
      </c>
      <c r="D22" s="4">
        <v>0</v>
      </c>
      <c r="E22" s="5">
        <v>0</v>
      </c>
      <c r="F22" s="4">
        <v>0</v>
      </c>
      <c r="G22" s="5">
        <v>0</v>
      </c>
      <c r="H22" s="4">
        <v>0</v>
      </c>
      <c r="I22" s="5">
        <v>0</v>
      </c>
      <c r="J22" s="4">
        <v>0</v>
      </c>
      <c r="K22" s="5">
        <v>0</v>
      </c>
      <c r="L22" s="4">
        <v>0</v>
      </c>
      <c r="M22" s="5">
        <v>0</v>
      </c>
    </row>
    <row r="23" spans="1:13" s="2" customFormat="1" ht="13.5" thickBot="1">
      <c r="A23" s="13" t="s">
        <v>38</v>
      </c>
      <c r="B23" s="14">
        <f aca="true" t="shared" si="0" ref="B23:M23">SUM(B11:B22)</f>
        <v>311721</v>
      </c>
      <c r="C23" s="15">
        <f t="shared" si="0"/>
        <v>1168953.75</v>
      </c>
      <c r="D23" s="14">
        <f t="shared" si="0"/>
        <v>0</v>
      </c>
      <c r="E23" s="15">
        <v>0</v>
      </c>
      <c r="F23" s="17">
        <f t="shared" si="0"/>
        <v>0</v>
      </c>
      <c r="G23" s="15">
        <f t="shared" si="0"/>
        <v>0</v>
      </c>
      <c r="H23" s="17">
        <f t="shared" si="0"/>
        <v>0</v>
      </c>
      <c r="I23" s="15">
        <f t="shared" si="0"/>
        <v>0</v>
      </c>
      <c r="J23" s="17">
        <f t="shared" si="0"/>
        <v>0</v>
      </c>
      <c r="K23" s="15">
        <f t="shared" si="0"/>
        <v>0</v>
      </c>
      <c r="L23" s="17">
        <f t="shared" si="0"/>
        <v>0</v>
      </c>
      <c r="M23" s="15">
        <f t="shared" si="0"/>
        <v>0</v>
      </c>
    </row>
    <row r="24" spans="1:13" s="2" customFormat="1" ht="12.7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" customFormat="1" ht="12.75">
      <c r="A25" s="21" t="s">
        <v>1</v>
      </c>
      <c r="B25" s="22" t="s">
        <v>16</v>
      </c>
      <c r="C25" s="22" t="s">
        <v>17</v>
      </c>
      <c r="D25" s="22" t="s">
        <v>25</v>
      </c>
      <c r="E25" s="22" t="s">
        <v>26</v>
      </c>
      <c r="F25" s="22" t="s">
        <v>18</v>
      </c>
      <c r="G25" s="22" t="s">
        <v>19</v>
      </c>
      <c r="H25" s="22" t="s">
        <v>7</v>
      </c>
      <c r="I25" s="22" t="s">
        <v>28</v>
      </c>
      <c r="J25" s="22" t="s">
        <v>20</v>
      </c>
      <c r="K25" s="22" t="s">
        <v>21</v>
      </c>
      <c r="L25" s="22" t="s">
        <v>22</v>
      </c>
      <c r="M25" s="22" t="s">
        <v>22</v>
      </c>
    </row>
    <row r="26" spans="1:13" s="1" customFormat="1" ht="13.5" thickBot="1">
      <c r="A26" s="24" t="s">
        <v>8</v>
      </c>
      <c r="B26" s="25">
        <v>1</v>
      </c>
      <c r="C26" s="26" t="s">
        <v>15</v>
      </c>
      <c r="D26" s="25" t="s">
        <v>29</v>
      </c>
      <c r="E26" s="26" t="s">
        <v>15</v>
      </c>
      <c r="F26" s="25">
        <v>10</v>
      </c>
      <c r="G26" s="26" t="s">
        <v>15</v>
      </c>
      <c r="H26" s="25">
        <v>1</v>
      </c>
      <c r="I26" s="26" t="s">
        <v>15</v>
      </c>
      <c r="J26" s="26"/>
      <c r="K26" s="26" t="s">
        <v>15</v>
      </c>
      <c r="L26" s="26" t="s">
        <v>23</v>
      </c>
      <c r="M26" s="26" t="s">
        <v>9</v>
      </c>
    </row>
    <row r="27" spans="1:13" s="1" customFormat="1" ht="12.75">
      <c r="A27" s="3">
        <v>43739</v>
      </c>
      <c r="B27" s="4">
        <v>4424</v>
      </c>
      <c r="C27" s="7">
        <f>SUM(B27*B26)</f>
        <v>4424</v>
      </c>
      <c r="D27" s="4">
        <v>0</v>
      </c>
      <c r="E27" s="7">
        <v>0</v>
      </c>
      <c r="F27" s="4">
        <v>497</v>
      </c>
      <c r="G27" s="7">
        <f>F26*F27</f>
        <v>4970</v>
      </c>
      <c r="H27" s="4">
        <v>195810</v>
      </c>
      <c r="I27" s="7">
        <f>SUM(H27*H26)</f>
        <v>195810</v>
      </c>
      <c r="J27" s="4">
        <f>66+489</f>
        <v>555</v>
      </c>
      <c r="K27" s="7">
        <f>198+1711.5+3203.21</f>
        <v>5112.71</v>
      </c>
      <c r="L27" s="6">
        <f aca="true" t="shared" si="1" ref="L27:M38">B11+D11+F11+H11+J11+L11+B27+D27+F27+H27+J27</f>
        <v>299952</v>
      </c>
      <c r="M27" s="8">
        <f t="shared" si="1"/>
        <v>580314.21</v>
      </c>
    </row>
    <row r="28" spans="1:13" s="1" customFormat="1" ht="12.75">
      <c r="A28" s="3">
        <v>43770</v>
      </c>
      <c r="B28" s="4">
        <v>4616</v>
      </c>
      <c r="C28" s="7">
        <f>SUM(B28*B26)</f>
        <v>4616</v>
      </c>
      <c r="D28" s="4">
        <v>0</v>
      </c>
      <c r="E28" s="7">
        <v>0</v>
      </c>
      <c r="F28" s="4">
        <v>504</v>
      </c>
      <c r="G28" s="7">
        <f>F26*F28</f>
        <v>5040</v>
      </c>
      <c r="H28" s="4">
        <v>195151</v>
      </c>
      <c r="I28" s="7">
        <f>SUM(H28*H26)</f>
        <v>195151</v>
      </c>
      <c r="J28" s="4">
        <f>112+497</f>
        <v>609</v>
      </c>
      <c r="K28" s="7">
        <f>336+1739.5+3373.53</f>
        <v>5449.030000000001</v>
      </c>
      <c r="L28" s="6">
        <f t="shared" si="1"/>
        <v>303712</v>
      </c>
      <c r="M28" s="8">
        <f t="shared" si="1"/>
        <v>595876.03</v>
      </c>
    </row>
    <row r="29" spans="1:13" s="1" customFormat="1" ht="12.75">
      <c r="A29" s="3">
        <v>43800</v>
      </c>
      <c r="B29" s="4">
        <v>5016</v>
      </c>
      <c r="C29" s="7">
        <f>SUM(B29*B26)</f>
        <v>5016</v>
      </c>
      <c r="D29" s="4">
        <v>0</v>
      </c>
      <c r="E29" s="7">
        <v>0</v>
      </c>
      <c r="F29" s="4">
        <v>535</v>
      </c>
      <c r="G29" s="7">
        <f>F26*F29</f>
        <v>5350</v>
      </c>
      <c r="H29" s="4">
        <v>208431</v>
      </c>
      <c r="I29" s="7">
        <f>SUM(H29*H26)</f>
        <v>208431</v>
      </c>
      <c r="J29" s="4">
        <f>310+528</f>
        <v>838</v>
      </c>
      <c r="K29" s="7">
        <f>930+1848+3767.07</f>
        <v>6545.07</v>
      </c>
      <c r="L29" s="6">
        <f t="shared" si="1"/>
        <v>325043</v>
      </c>
      <c r="M29" s="8">
        <f t="shared" si="1"/>
        <v>638678.32</v>
      </c>
    </row>
    <row r="30" spans="1:13" s="1" customFormat="1" ht="12.75">
      <c r="A30" s="3">
        <v>43831</v>
      </c>
      <c r="B30" s="4">
        <v>0</v>
      </c>
      <c r="C30" s="7">
        <f>SUM(B30*B26)</f>
        <v>0</v>
      </c>
      <c r="D30" s="4">
        <v>0</v>
      </c>
      <c r="E30" s="7">
        <v>0</v>
      </c>
      <c r="F30" s="4">
        <v>0</v>
      </c>
      <c r="G30" s="7">
        <f>F26*F30</f>
        <v>0</v>
      </c>
      <c r="H30" s="4">
        <v>0</v>
      </c>
      <c r="I30" s="7">
        <f>SUM(H30*H26)</f>
        <v>0</v>
      </c>
      <c r="J30" s="4">
        <v>0</v>
      </c>
      <c r="K30" s="7">
        <v>0</v>
      </c>
      <c r="L30" s="6">
        <f t="shared" si="1"/>
        <v>0</v>
      </c>
      <c r="M30" s="8">
        <f t="shared" si="1"/>
        <v>0</v>
      </c>
    </row>
    <row r="31" spans="1:13" s="1" customFormat="1" ht="12.75">
      <c r="A31" s="3">
        <v>43862</v>
      </c>
      <c r="B31" s="4">
        <v>0</v>
      </c>
      <c r="C31" s="7">
        <f>SUM(B31*B26)</f>
        <v>0</v>
      </c>
      <c r="D31" s="4">
        <v>0</v>
      </c>
      <c r="E31" s="7">
        <v>0</v>
      </c>
      <c r="F31" s="4">
        <v>0</v>
      </c>
      <c r="G31" s="7">
        <f>F26*F31</f>
        <v>0</v>
      </c>
      <c r="H31" s="4">
        <v>0</v>
      </c>
      <c r="I31" s="7">
        <f>SUM(H31*H26)</f>
        <v>0</v>
      </c>
      <c r="J31" s="4">
        <v>0</v>
      </c>
      <c r="K31" s="7">
        <v>0</v>
      </c>
      <c r="L31" s="6">
        <f t="shared" si="1"/>
        <v>0</v>
      </c>
      <c r="M31" s="8">
        <f t="shared" si="1"/>
        <v>0</v>
      </c>
    </row>
    <row r="32" spans="1:13" s="1" customFormat="1" ht="12.75">
      <c r="A32" s="3">
        <v>43891</v>
      </c>
      <c r="B32" s="4">
        <v>0</v>
      </c>
      <c r="C32" s="7">
        <f>SUM(B32*B26)</f>
        <v>0</v>
      </c>
      <c r="D32" s="4">
        <v>0</v>
      </c>
      <c r="E32" s="7">
        <v>0</v>
      </c>
      <c r="F32" s="4">
        <v>0</v>
      </c>
      <c r="G32" s="7">
        <f>F26*F32</f>
        <v>0</v>
      </c>
      <c r="H32" s="4">
        <v>0</v>
      </c>
      <c r="I32" s="7">
        <f>SUM(H32*H26)</f>
        <v>0</v>
      </c>
      <c r="J32" s="4">
        <v>0</v>
      </c>
      <c r="K32" s="7">
        <v>0</v>
      </c>
      <c r="L32" s="6">
        <f t="shared" si="1"/>
        <v>0</v>
      </c>
      <c r="M32" s="8">
        <f t="shared" si="1"/>
        <v>0</v>
      </c>
    </row>
    <row r="33" spans="1:13" s="1" customFormat="1" ht="12.75">
      <c r="A33" s="3">
        <v>43922</v>
      </c>
      <c r="B33" s="4">
        <v>0</v>
      </c>
      <c r="C33" s="7">
        <f>SUM(B33*B26)</f>
        <v>0</v>
      </c>
      <c r="D33" s="4">
        <v>0</v>
      </c>
      <c r="E33" s="7">
        <v>0</v>
      </c>
      <c r="F33" s="4">
        <v>0</v>
      </c>
      <c r="G33" s="7">
        <f>F26*F33</f>
        <v>0</v>
      </c>
      <c r="H33" s="4">
        <v>0</v>
      </c>
      <c r="I33" s="7">
        <f>SUM(H33*H26)</f>
        <v>0</v>
      </c>
      <c r="J33" s="4">
        <v>0</v>
      </c>
      <c r="K33" s="7">
        <v>0</v>
      </c>
      <c r="L33" s="6">
        <f t="shared" si="1"/>
        <v>0</v>
      </c>
      <c r="M33" s="8">
        <f t="shared" si="1"/>
        <v>0</v>
      </c>
    </row>
    <row r="34" spans="1:13" s="1" customFormat="1" ht="12.75">
      <c r="A34" s="3">
        <v>43952</v>
      </c>
      <c r="B34" s="4">
        <v>0</v>
      </c>
      <c r="C34" s="7">
        <f>SUM(B34*B26)</f>
        <v>0</v>
      </c>
      <c r="D34" s="4">
        <v>0</v>
      </c>
      <c r="E34" s="7">
        <v>0</v>
      </c>
      <c r="F34" s="4">
        <v>0</v>
      </c>
      <c r="G34" s="7">
        <f>F26*F34</f>
        <v>0</v>
      </c>
      <c r="H34" s="4">
        <v>0</v>
      </c>
      <c r="I34" s="7">
        <f>SUM(H34*H26)</f>
        <v>0</v>
      </c>
      <c r="J34" s="4">
        <v>0</v>
      </c>
      <c r="K34" s="7">
        <v>0</v>
      </c>
      <c r="L34" s="6">
        <f t="shared" si="1"/>
        <v>0</v>
      </c>
      <c r="M34" s="8">
        <f t="shared" si="1"/>
        <v>0</v>
      </c>
    </row>
    <row r="35" spans="1:13" s="1" customFormat="1" ht="12.75">
      <c r="A35" s="3">
        <v>43983</v>
      </c>
      <c r="B35" s="4">
        <v>0</v>
      </c>
      <c r="C35" s="7">
        <f>SUM(B35*B26)</f>
        <v>0</v>
      </c>
      <c r="D35" s="4">
        <v>0</v>
      </c>
      <c r="E35" s="7">
        <v>0</v>
      </c>
      <c r="F35" s="4">
        <v>0</v>
      </c>
      <c r="G35" s="7">
        <f>F26*F35</f>
        <v>0</v>
      </c>
      <c r="H35" s="4">
        <v>0</v>
      </c>
      <c r="I35" s="7">
        <f>SUM(H35*H26)</f>
        <v>0</v>
      </c>
      <c r="J35" s="4">
        <v>0</v>
      </c>
      <c r="K35" s="7">
        <v>0</v>
      </c>
      <c r="L35" s="6">
        <f t="shared" si="1"/>
        <v>0</v>
      </c>
      <c r="M35" s="8">
        <f t="shared" si="1"/>
        <v>0</v>
      </c>
    </row>
    <row r="36" spans="1:13" s="1" customFormat="1" ht="12.75">
      <c r="A36" s="3">
        <v>44013</v>
      </c>
      <c r="B36" s="4">
        <v>0</v>
      </c>
      <c r="C36" s="7">
        <f>SUM(B36*B26)</f>
        <v>0</v>
      </c>
      <c r="D36" s="4">
        <v>0</v>
      </c>
      <c r="E36" s="7">
        <v>0</v>
      </c>
      <c r="F36" s="4">
        <v>0</v>
      </c>
      <c r="G36" s="7">
        <f>F26*F36</f>
        <v>0</v>
      </c>
      <c r="H36" s="4">
        <v>0</v>
      </c>
      <c r="I36" s="7">
        <f>SUM(H36*H26)</f>
        <v>0</v>
      </c>
      <c r="J36" s="4">
        <v>0</v>
      </c>
      <c r="K36" s="7">
        <v>0</v>
      </c>
      <c r="L36" s="6">
        <f t="shared" si="1"/>
        <v>0</v>
      </c>
      <c r="M36" s="8">
        <f t="shared" si="1"/>
        <v>0</v>
      </c>
    </row>
    <row r="37" spans="1:13" s="1" customFormat="1" ht="12.75">
      <c r="A37" s="3">
        <v>44044</v>
      </c>
      <c r="B37" s="4">
        <v>0</v>
      </c>
      <c r="C37" s="7">
        <f>SUM(B37*B26)</f>
        <v>0</v>
      </c>
      <c r="D37" s="4">
        <v>0</v>
      </c>
      <c r="E37" s="7">
        <v>0</v>
      </c>
      <c r="F37" s="4">
        <v>0</v>
      </c>
      <c r="G37" s="7">
        <f>F26*F37</f>
        <v>0</v>
      </c>
      <c r="H37" s="4">
        <v>0</v>
      </c>
      <c r="I37" s="7">
        <f>SUM(H37*H26)</f>
        <v>0</v>
      </c>
      <c r="J37" s="4">
        <v>0</v>
      </c>
      <c r="K37" s="7">
        <v>0</v>
      </c>
      <c r="L37" s="6">
        <f t="shared" si="1"/>
        <v>0</v>
      </c>
      <c r="M37" s="8">
        <f t="shared" si="1"/>
        <v>0</v>
      </c>
    </row>
    <row r="38" spans="1:13" s="1" customFormat="1" ht="12.75">
      <c r="A38" s="3">
        <v>44075</v>
      </c>
      <c r="B38" s="4">
        <v>0</v>
      </c>
      <c r="C38" s="7">
        <f>SUM(B38*B26)</f>
        <v>0</v>
      </c>
      <c r="D38" s="4">
        <v>0</v>
      </c>
      <c r="E38" s="7">
        <v>0</v>
      </c>
      <c r="F38" s="4">
        <v>0</v>
      </c>
      <c r="G38" s="7">
        <f>F38*F26</f>
        <v>0</v>
      </c>
      <c r="H38" s="4">
        <v>0</v>
      </c>
      <c r="I38" s="7">
        <f>SUM(H38*H26)</f>
        <v>0</v>
      </c>
      <c r="J38" s="4">
        <v>0</v>
      </c>
      <c r="K38" s="7">
        <v>0</v>
      </c>
      <c r="L38" s="6">
        <f t="shared" si="1"/>
        <v>0</v>
      </c>
      <c r="M38" s="8">
        <f t="shared" si="1"/>
        <v>0</v>
      </c>
    </row>
    <row r="39" spans="1:13" s="1" customFormat="1" ht="13.5" thickBot="1">
      <c r="A39" s="13" t="s">
        <v>38</v>
      </c>
      <c r="B39" s="14">
        <f aca="true" t="shared" si="2" ref="B39:M39">SUM(B27:B38)</f>
        <v>14056</v>
      </c>
      <c r="C39" s="16">
        <f t="shared" si="2"/>
        <v>14056</v>
      </c>
      <c r="D39" s="17">
        <f t="shared" si="2"/>
        <v>0</v>
      </c>
      <c r="E39" s="16">
        <f t="shared" si="2"/>
        <v>0</v>
      </c>
      <c r="F39" s="14">
        <f t="shared" si="2"/>
        <v>1536</v>
      </c>
      <c r="G39" s="16">
        <f t="shared" si="2"/>
        <v>15360</v>
      </c>
      <c r="H39" s="14">
        <f t="shared" si="2"/>
        <v>599392</v>
      </c>
      <c r="I39" s="16">
        <f t="shared" si="2"/>
        <v>599392</v>
      </c>
      <c r="J39" s="14">
        <f t="shared" si="2"/>
        <v>2002</v>
      </c>
      <c r="K39" s="16">
        <f t="shared" si="2"/>
        <v>17106.81</v>
      </c>
      <c r="L39" s="18">
        <f t="shared" si="2"/>
        <v>928707</v>
      </c>
      <c r="M39" s="19">
        <f t="shared" si="2"/>
        <v>1814868.56</v>
      </c>
    </row>
    <row r="40" spans="1:13" s="1" customFormat="1" ht="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" customFormat="1" ht="1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s="1" customFormat="1" ht="12">
      <c r="A42" s="2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1" customFormat="1" ht="15.75">
      <c r="A43" s="11" t="s">
        <v>24</v>
      </c>
      <c r="B43" s="9"/>
      <c r="C43" s="9"/>
      <c r="D43" s="9"/>
      <c r="F43" s="9"/>
      <c r="G43" s="9"/>
      <c r="H43" s="9"/>
      <c r="I43" s="9"/>
      <c r="J43" s="9"/>
      <c r="K43" s="9"/>
      <c r="L43" s="9"/>
      <c r="M43" s="9"/>
    </row>
    <row r="44" spans="1:13" s="1" customFormat="1" ht="17.25" customHeight="1">
      <c r="A44" s="33" t="s">
        <v>34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s="1" customFormat="1" ht="17.25" customHeight="1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s="1" customFormat="1" ht="17.2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="1" customFormat="1" ht="17.25" customHeight="1"/>
    <row r="48" s="1" customFormat="1" ht="17.25" customHeight="1"/>
    <row r="49" spans="1:13" s="1" customFormat="1" ht="13.5" customHeight="1">
      <c r="A49" s="11" t="s">
        <v>37</v>
      </c>
      <c r="B49" s="10"/>
      <c r="C49" s="10"/>
      <c r="D49" s="10"/>
      <c r="E49" s="12"/>
      <c r="F49" s="10"/>
      <c r="G49" s="10"/>
      <c r="H49" s="10"/>
      <c r="I49" s="10"/>
      <c r="J49" s="9"/>
      <c r="K49" s="9"/>
      <c r="L49" s="10"/>
      <c r="M49" s="10"/>
    </row>
    <row r="50" spans="1:13" s="1" customFormat="1" ht="13.5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s="1" customFormat="1" ht="12.75">
      <c r="A51" s="21" t="s">
        <v>1</v>
      </c>
      <c r="B51" s="22" t="s">
        <v>31</v>
      </c>
      <c r="C51" s="22" t="s">
        <v>27</v>
      </c>
      <c r="D51" s="22" t="s">
        <v>2</v>
      </c>
      <c r="E51" s="22" t="s">
        <v>10</v>
      </c>
      <c r="F51" s="22" t="s">
        <v>3</v>
      </c>
      <c r="G51" s="23" t="s">
        <v>11</v>
      </c>
      <c r="H51" s="22" t="s">
        <v>4</v>
      </c>
      <c r="I51" s="23" t="s">
        <v>12</v>
      </c>
      <c r="J51" s="22" t="s">
        <v>5</v>
      </c>
      <c r="K51" s="23" t="s">
        <v>13</v>
      </c>
      <c r="L51" s="21" t="s">
        <v>6</v>
      </c>
      <c r="M51" s="22" t="s">
        <v>14</v>
      </c>
    </row>
    <row r="52" spans="1:13" s="2" customFormat="1" ht="13.5" thickBot="1">
      <c r="A52" s="24" t="s">
        <v>8</v>
      </c>
      <c r="B52" s="25">
        <v>3.75</v>
      </c>
      <c r="C52" s="26" t="s">
        <v>15</v>
      </c>
      <c r="D52" s="30" t="s">
        <v>39</v>
      </c>
      <c r="E52" s="26" t="s">
        <v>15</v>
      </c>
      <c r="F52" s="30" t="s">
        <v>40</v>
      </c>
      <c r="G52" s="27" t="s">
        <v>15</v>
      </c>
      <c r="H52" s="32" t="s">
        <v>41</v>
      </c>
      <c r="I52" s="27" t="s">
        <v>15</v>
      </c>
      <c r="J52" s="30" t="s">
        <v>42</v>
      </c>
      <c r="K52" s="27" t="s">
        <v>15</v>
      </c>
      <c r="L52" s="31" t="s">
        <v>43</v>
      </c>
      <c r="M52" s="26" t="s">
        <v>15</v>
      </c>
    </row>
    <row r="53" spans="1:13" s="2" customFormat="1" ht="12.75">
      <c r="A53" s="3">
        <v>43739</v>
      </c>
      <c r="B53" s="4">
        <v>32651</v>
      </c>
      <c r="C53" s="5">
        <f>SUM(B53*B52)</f>
        <v>122441.25</v>
      </c>
      <c r="D53" s="4">
        <v>112</v>
      </c>
      <c r="E53" s="5">
        <v>1133</v>
      </c>
      <c r="F53" s="4">
        <v>886</v>
      </c>
      <c r="G53" s="5">
        <v>13015.5</v>
      </c>
      <c r="H53" s="4">
        <v>13</v>
      </c>
      <c r="I53" s="5">
        <v>220.75</v>
      </c>
      <c r="J53" s="4">
        <v>760</v>
      </c>
      <c r="K53" s="5">
        <v>15196.5</v>
      </c>
      <c r="L53" s="4">
        <v>76</v>
      </c>
      <c r="M53" s="5">
        <v>1891.25</v>
      </c>
    </row>
    <row r="54" spans="1:13" s="2" customFormat="1" ht="12.75">
      <c r="A54" s="3">
        <v>43770</v>
      </c>
      <c r="B54" s="4">
        <v>33892</v>
      </c>
      <c r="C54" s="5">
        <f>SUM(B54*B52)</f>
        <v>127095</v>
      </c>
      <c r="D54" s="4">
        <v>101</v>
      </c>
      <c r="E54" s="5">
        <v>1045</v>
      </c>
      <c r="F54" s="4">
        <v>937</v>
      </c>
      <c r="G54" s="5">
        <v>13857</v>
      </c>
      <c r="H54" s="4">
        <v>14</v>
      </c>
      <c r="I54" s="5">
        <v>241.5</v>
      </c>
      <c r="J54" s="4">
        <v>627</v>
      </c>
      <c r="K54" s="5">
        <v>12570.25</v>
      </c>
      <c r="L54" s="4">
        <v>95</v>
      </c>
      <c r="M54" s="5">
        <v>2326</v>
      </c>
    </row>
    <row r="55" spans="1:13" s="2" customFormat="1" ht="12.75">
      <c r="A55" s="3">
        <v>43800</v>
      </c>
      <c r="B55" s="4">
        <v>36016</v>
      </c>
      <c r="C55" s="5">
        <f>SUM(B55*B52)</f>
        <v>135060</v>
      </c>
      <c r="D55" s="4">
        <v>113</v>
      </c>
      <c r="E55" s="5">
        <v>1181.5</v>
      </c>
      <c r="F55" s="4">
        <v>713</v>
      </c>
      <c r="G55" s="5">
        <v>10569</v>
      </c>
      <c r="H55" s="4">
        <v>1</v>
      </c>
      <c r="I55" s="5">
        <v>17.25</v>
      </c>
      <c r="J55" s="4">
        <v>537</v>
      </c>
      <c r="K55" s="5">
        <v>10934</v>
      </c>
      <c r="L55" s="4">
        <v>48</v>
      </c>
      <c r="M55" s="5">
        <v>1168.5</v>
      </c>
    </row>
    <row r="56" spans="1:13" s="2" customFormat="1" ht="12.75">
      <c r="A56" s="3">
        <v>43831</v>
      </c>
      <c r="B56" s="4">
        <v>0</v>
      </c>
      <c r="C56" s="5">
        <f>SUM(B56*B52)</f>
        <v>0</v>
      </c>
      <c r="D56" s="4">
        <v>0</v>
      </c>
      <c r="E56" s="5">
        <v>0</v>
      </c>
      <c r="F56" s="4">
        <v>0</v>
      </c>
      <c r="G56" s="5">
        <v>0</v>
      </c>
      <c r="H56" s="4">
        <v>0</v>
      </c>
      <c r="I56" s="5">
        <v>0</v>
      </c>
      <c r="J56" s="4">
        <v>0</v>
      </c>
      <c r="K56" s="5">
        <v>0</v>
      </c>
      <c r="L56" s="4">
        <v>0</v>
      </c>
      <c r="M56" s="5">
        <v>0</v>
      </c>
    </row>
    <row r="57" spans="1:13" s="2" customFormat="1" ht="12.75">
      <c r="A57" s="3">
        <v>43862</v>
      </c>
      <c r="B57" s="4">
        <v>0</v>
      </c>
      <c r="C57" s="5">
        <f>SUM(B57*B52)</f>
        <v>0</v>
      </c>
      <c r="D57" s="4">
        <v>0</v>
      </c>
      <c r="E57" s="5">
        <v>0</v>
      </c>
      <c r="F57" s="4">
        <v>0</v>
      </c>
      <c r="G57" s="5">
        <v>0</v>
      </c>
      <c r="H57" s="4">
        <v>0</v>
      </c>
      <c r="I57" s="5">
        <v>0</v>
      </c>
      <c r="J57" s="4">
        <v>0</v>
      </c>
      <c r="K57" s="5">
        <v>0</v>
      </c>
      <c r="L57" s="4">
        <v>0</v>
      </c>
      <c r="M57" s="5">
        <v>0</v>
      </c>
    </row>
    <row r="58" spans="1:13" s="2" customFormat="1" ht="12.75">
      <c r="A58" s="3">
        <v>43891</v>
      </c>
      <c r="B58" s="4">
        <v>0</v>
      </c>
      <c r="C58" s="5">
        <f>SUM(B58*B52)</f>
        <v>0</v>
      </c>
      <c r="D58" s="4">
        <v>0</v>
      </c>
      <c r="E58" s="5">
        <v>0</v>
      </c>
      <c r="F58" s="4">
        <v>0</v>
      </c>
      <c r="G58" s="5">
        <v>0</v>
      </c>
      <c r="H58" s="4">
        <v>0</v>
      </c>
      <c r="I58" s="5">
        <v>0</v>
      </c>
      <c r="J58" s="4">
        <v>0</v>
      </c>
      <c r="K58" s="5">
        <v>0</v>
      </c>
      <c r="L58" s="4">
        <v>0</v>
      </c>
      <c r="M58" s="5">
        <v>0</v>
      </c>
    </row>
    <row r="59" spans="1:13" s="2" customFormat="1" ht="12.75">
      <c r="A59" s="3">
        <v>43922</v>
      </c>
      <c r="B59" s="4">
        <v>0</v>
      </c>
      <c r="C59" s="5">
        <f>SUM(B59*B52)</f>
        <v>0</v>
      </c>
      <c r="D59" s="4">
        <v>0</v>
      </c>
      <c r="E59" s="5">
        <v>0</v>
      </c>
      <c r="F59" s="4">
        <v>0</v>
      </c>
      <c r="G59" s="5">
        <v>0</v>
      </c>
      <c r="H59" s="4">
        <v>0</v>
      </c>
      <c r="I59" s="5">
        <v>0</v>
      </c>
      <c r="J59" s="4">
        <v>0</v>
      </c>
      <c r="K59" s="5">
        <v>0</v>
      </c>
      <c r="L59" s="4">
        <v>0</v>
      </c>
      <c r="M59" s="5">
        <v>0</v>
      </c>
    </row>
    <row r="60" spans="1:13" s="2" customFormat="1" ht="12.75">
      <c r="A60" s="3">
        <v>43952</v>
      </c>
      <c r="B60" s="4">
        <v>0</v>
      </c>
      <c r="C60" s="5">
        <f>SUM(B60*B52)</f>
        <v>0</v>
      </c>
      <c r="D60" s="4">
        <v>0</v>
      </c>
      <c r="E60" s="5">
        <v>0</v>
      </c>
      <c r="F60" s="4">
        <v>0</v>
      </c>
      <c r="G60" s="5">
        <v>0</v>
      </c>
      <c r="H60" s="4">
        <v>0</v>
      </c>
      <c r="I60" s="5">
        <v>0</v>
      </c>
      <c r="J60" s="4">
        <v>0</v>
      </c>
      <c r="K60" s="5">
        <v>0</v>
      </c>
      <c r="L60" s="4">
        <v>0</v>
      </c>
      <c r="M60" s="5">
        <v>0</v>
      </c>
    </row>
    <row r="61" spans="1:13" s="2" customFormat="1" ht="12.75">
      <c r="A61" s="3">
        <v>43983</v>
      </c>
      <c r="B61" s="4">
        <v>0</v>
      </c>
      <c r="C61" s="5">
        <f>SUM(B61*B52)</f>
        <v>0</v>
      </c>
      <c r="D61" s="4">
        <v>0</v>
      </c>
      <c r="E61" s="5">
        <v>0</v>
      </c>
      <c r="F61" s="4">
        <v>0</v>
      </c>
      <c r="G61" s="5">
        <v>0</v>
      </c>
      <c r="H61" s="4">
        <v>0</v>
      </c>
      <c r="I61" s="5">
        <v>0</v>
      </c>
      <c r="J61" s="4">
        <v>0</v>
      </c>
      <c r="K61" s="5">
        <v>0</v>
      </c>
      <c r="L61" s="4">
        <v>0</v>
      </c>
      <c r="M61" s="5">
        <v>0</v>
      </c>
    </row>
    <row r="62" spans="1:13" s="2" customFormat="1" ht="12.75">
      <c r="A62" s="3">
        <v>44013</v>
      </c>
      <c r="B62" s="4">
        <v>0</v>
      </c>
      <c r="C62" s="5">
        <f>SUM(B62*B52)</f>
        <v>0</v>
      </c>
      <c r="D62" s="4">
        <v>0</v>
      </c>
      <c r="E62" s="5">
        <v>0</v>
      </c>
      <c r="F62" s="4">
        <v>0</v>
      </c>
      <c r="G62" s="5">
        <v>0</v>
      </c>
      <c r="H62" s="4">
        <v>0</v>
      </c>
      <c r="I62" s="5">
        <v>0</v>
      </c>
      <c r="J62" s="4">
        <v>0</v>
      </c>
      <c r="K62" s="5">
        <v>0</v>
      </c>
      <c r="L62" s="4">
        <v>0</v>
      </c>
      <c r="M62" s="5">
        <v>0</v>
      </c>
    </row>
    <row r="63" spans="1:13" s="2" customFormat="1" ht="12.75">
      <c r="A63" s="3">
        <v>44044</v>
      </c>
      <c r="B63" s="4">
        <v>0</v>
      </c>
      <c r="C63" s="5">
        <f>SUM(B63*B52)</f>
        <v>0</v>
      </c>
      <c r="D63" s="4">
        <v>0</v>
      </c>
      <c r="E63" s="5">
        <v>0</v>
      </c>
      <c r="F63" s="4">
        <v>0</v>
      </c>
      <c r="G63" s="5">
        <v>0</v>
      </c>
      <c r="H63" s="4">
        <v>0</v>
      </c>
      <c r="I63" s="5">
        <v>0</v>
      </c>
      <c r="J63" s="4">
        <v>0</v>
      </c>
      <c r="K63" s="5">
        <v>0</v>
      </c>
      <c r="L63" s="4">
        <v>0</v>
      </c>
      <c r="M63" s="5">
        <v>0</v>
      </c>
    </row>
    <row r="64" spans="1:13" s="2" customFormat="1" ht="12.75">
      <c r="A64" s="3">
        <v>44075</v>
      </c>
      <c r="B64" s="4">
        <v>0</v>
      </c>
      <c r="C64" s="5">
        <f>B64*B52</f>
        <v>0</v>
      </c>
      <c r="D64" s="4">
        <v>0</v>
      </c>
      <c r="E64" s="5">
        <v>0</v>
      </c>
      <c r="F64" s="4">
        <v>0</v>
      </c>
      <c r="G64" s="5">
        <v>0</v>
      </c>
      <c r="H64" s="4">
        <v>0</v>
      </c>
      <c r="I64" s="5">
        <v>0</v>
      </c>
      <c r="J64" s="4">
        <v>0</v>
      </c>
      <c r="K64" s="5">
        <v>0</v>
      </c>
      <c r="L64" s="4">
        <v>0</v>
      </c>
      <c r="M64" s="5">
        <v>0</v>
      </c>
    </row>
    <row r="65" spans="1:13" s="2" customFormat="1" ht="13.5" thickBot="1">
      <c r="A65" s="13" t="s">
        <v>38</v>
      </c>
      <c r="B65" s="14">
        <f aca="true" t="shared" si="3" ref="B65:M65">SUM(B53:B64)</f>
        <v>102559</v>
      </c>
      <c r="C65" s="15">
        <f t="shared" si="3"/>
        <v>384596.25</v>
      </c>
      <c r="D65" s="14">
        <f t="shared" si="3"/>
        <v>326</v>
      </c>
      <c r="E65" s="15">
        <f>SUM(E53:E64)</f>
        <v>3359.5</v>
      </c>
      <c r="F65" s="14">
        <f t="shared" si="3"/>
        <v>2536</v>
      </c>
      <c r="G65" s="15">
        <f t="shared" si="3"/>
        <v>37441.5</v>
      </c>
      <c r="H65" s="17">
        <f t="shared" si="3"/>
        <v>28</v>
      </c>
      <c r="I65" s="15">
        <f t="shared" si="3"/>
        <v>479.5</v>
      </c>
      <c r="J65" s="14">
        <f t="shared" si="3"/>
        <v>1924</v>
      </c>
      <c r="K65" s="15">
        <f t="shared" si="3"/>
        <v>38700.75</v>
      </c>
      <c r="L65" s="17">
        <f t="shared" si="3"/>
        <v>219</v>
      </c>
      <c r="M65" s="15">
        <f t="shared" si="3"/>
        <v>5385.75</v>
      </c>
    </row>
    <row r="66" spans="1:13" s="2" customFormat="1" ht="12.75" thickBo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1" customFormat="1" ht="12.75">
      <c r="A67" s="21" t="s">
        <v>1</v>
      </c>
      <c r="B67" s="22" t="s">
        <v>16</v>
      </c>
      <c r="C67" s="22" t="s">
        <v>17</v>
      </c>
      <c r="D67" s="22" t="s">
        <v>25</v>
      </c>
      <c r="E67" s="22" t="s">
        <v>26</v>
      </c>
      <c r="F67" s="22" t="s">
        <v>18</v>
      </c>
      <c r="G67" s="22" t="s">
        <v>19</v>
      </c>
      <c r="H67" s="22" t="s">
        <v>7</v>
      </c>
      <c r="I67" s="22" t="s">
        <v>28</v>
      </c>
      <c r="J67" s="22" t="s">
        <v>20</v>
      </c>
      <c r="K67" s="22" t="s">
        <v>21</v>
      </c>
      <c r="L67" s="22" t="s">
        <v>22</v>
      </c>
      <c r="M67" s="22" t="s">
        <v>22</v>
      </c>
    </row>
    <row r="68" spans="1:13" s="1" customFormat="1" ht="13.5" thickBot="1">
      <c r="A68" s="24" t="s">
        <v>8</v>
      </c>
      <c r="B68" s="25">
        <v>1</v>
      </c>
      <c r="C68" s="26" t="s">
        <v>15</v>
      </c>
      <c r="D68" s="25" t="s">
        <v>29</v>
      </c>
      <c r="E68" s="26" t="s">
        <v>15</v>
      </c>
      <c r="F68" s="25">
        <v>10</v>
      </c>
      <c r="G68" s="26" t="s">
        <v>15</v>
      </c>
      <c r="H68" s="25">
        <v>1</v>
      </c>
      <c r="I68" s="26" t="s">
        <v>15</v>
      </c>
      <c r="J68" s="26"/>
      <c r="K68" s="26" t="s">
        <v>15</v>
      </c>
      <c r="L68" s="26" t="s">
        <v>23</v>
      </c>
      <c r="M68" s="26" t="s">
        <v>9</v>
      </c>
    </row>
    <row r="69" spans="1:13" s="1" customFormat="1" ht="12.75">
      <c r="A69" s="3">
        <v>43739</v>
      </c>
      <c r="B69" s="4">
        <v>8</v>
      </c>
      <c r="C69" s="7">
        <f>SUM(B69*B68)</f>
        <v>8</v>
      </c>
      <c r="D69" s="4">
        <f>5506+1106</f>
        <v>6612</v>
      </c>
      <c r="E69" s="7">
        <f>42671.5+12442.5</f>
        <v>55114</v>
      </c>
      <c r="F69" s="4">
        <v>2</v>
      </c>
      <c r="G69" s="7">
        <f>F69*F68</f>
        <v>20</v>
      </c>
      <c r="H69" s="4">
        <v>248</v>
      </c>
      <c r="I69" s="7">
        <f>SUM(H69*H68)</f>
        <v>248</v>
      </c>
      <c r="J69" s="4">
        <f>135+157+1938</f>
        <v>2230</v>
      </c>
      <c r="K69" s="7">
        <f>21497.5+471+6783+418.61</f>
        <v>29170.11</v>
      </c>
      <c r="L69" s="6">
        <f>B53+D53+F53+H53+J53+L53+B69+D69+F69+H69+J69</f>
        <v>43598</v>
      </c>
      <c r="M69" s="8">
        <f aca="true" t="shared" si="4" ref="L69:M80">C53+E53+G53+I53+K53+M53+C69+E69+G69+I69+K69</f>
        <v>238458.36</v>
      </c>
    </row>
    <row r="70" spans="1:13" s="1" customFormat="1" ht="12.75">
      <c r="A70" s="3">
        <v>43770</v>
      </c>
      <c r="B70" s="4">
        <v>10</v>
      </c>
      <c r="C70" s="7">
        <f>SUM(B70*B68)</f>
        <v>10</v>
      </c>
      <c r="D70" s="4">
        <f>4654+972</f>
        <v>5626</v>
      </c>
      <c r="E70" s="7">
        <f>36068.5+10935</f>
        <v>47003.5</v>
      </c>
      <c r="F70" s="4">
        <v>1</v>
      </c>
      <c r="G70" s="7">
        <f>F70*F68</f>
        <v>10</v>
      </c>
      <c r="H70" s="4">
        <v>310</v>
      </c>
      <c r="I70" s="7">
        <f>SUM(H70*H68)</f>
        <v>310</v>
      </c>
      <c r="J70" s="4">
        <f>77+155+1597</f>
        <v>1829</v>
      </c>
      <c r="K70" s="7">
        <f>15120+465+5589.5+470.67</f>
        <v>21645.17</v>
      </c>
      <c r="L70" s="6">
        <f t="shared" si="4"/>
        <v>43442</v>
      </c>
      <c r="M70" s="8">
        <f t="shared" si="4"/>
        <v>226113.41999999998</v>
      </c>
    </row>
    <row r="71" spans="1:13" s="1" customFormat="1" ht="12.75">
      <c r="A71" s="3">
        <v>43800</v>
      </c>
      <c r="B71" s="4">
        <v>8</v>
      </c>
      <c r="C71" s="7">
        <f>SUM(B71*B68)</f>
        <v>8</v>
      </c>
      <c r="D71" s="4">
        <f>6587+1566</f>
        <v>8153</v>
      </c>
      <c r="E71" s="7">
        <f>51041.5+17617.5</f>
        <v>68659</v>
      </c>
      <c r="F71" s="4">
        <v>5</v>
      </c>
      <c r="G71" s="7">
        <f>F71*F68</f>
        <v>50</v>
      </c>
      <c r="H71" s="4">
        <v>511</v>
      </c>
      <c r="I71" s="7">
        <f>SUM(H71*H68)</f>
        <v>511</v>
      </c>
      <c r="J71" s="4">
        <f>35+248+2421</f>
        <v>2704</v>
      </c>
      <c r="K71" s="7">
        <f>6451.5+744+8473.5+482.67</f>
        <v>16151.67</v>
      </c>
      <c r="L71" s="6">
        <f t="shared" si="4"/>
        <v>48809</v>
      </c>
      <c r="M71" s="8">
        <f t="shared" si="4"/>
        <v>244309.92</v>
      </c>
    </row>
    <row r="72" spans="1:13" s="1" customFormat="1" ht="12.75">
      <c r="A72" s="3">
        <v>43831</v>
      </c>
      <c r="B72" s="4">
        <v>0</v>
      </c>
      <c r="C72" s="7">
        <f>SUM(B72*B68)</f>
        <v>0</v>
      </c>
      <c r="D72" s="4">
        <v>0</v>
      </c>
      <c r="E72" s="7">
        <v>0</v>
      </c>
      <c r="F72" s="4">
        <v>0</v>
      </c>
      <c r="G72" s="7">
        <f>F72*F68</f>
        <v>0</v>
      </c>
      <c r="H72" s="4">
        <v>0</v>
      </c>
      <c r="I72" s="7">
        <f>SUM(H72*H68)</f>
        <v>0</v>
      </c>
      <c r="J72" s="4">
        <v>0</v>
      </c>
      <c r="K72" s="7">
        <v>0</v>
      </c>
      <c r="L72" s="6">
        <f t="shared" si="4"/>
        <v>0</v>
      </c>
      <c r="M72" s="8">
        <f t="shared" si="4"/>
        <v>0</v>
      </c>
    </row>
    <row r="73" spans="1:13" s="1" customFormat="1" ht="12.75">
      <c r="A73" s="3">
        <v>43862</v>
      </c>
      <c r="B73" s="4">
        <v>0</v>
      </c>
      <c r="C73" s="7">
        <f>SUM(B73*B68)</f>
        <v>0</v>
      </c>
      <c r="D73" s="4">
        <v>0</v>
      </c>
      <c r="E73" s="7">
        <v>0</v>
      </c>
      <c r="F73" s="4">
        <v>0</v>
      </c>
      <c r="G73" s="7">
        <f>F73*F68</f>
        <v>0</v>
      </c>
      <c r="H73" s="4">
        <v>0</v>
      </c>
      <c r="I73" s="7">
        <f>SUM(H73*H68)</f>
        <v>0</v>
      </c>
      <c r="J73" s="4">
        <v>0</v>
      </c>
      <c r="K73" s="7">
        <v>0</v>
      </c>
      <c r="L73" s="6">
        <f t="shared" si="4"/>
        <v>0</v>
      </c>
      <c r="M73" s="8">
        <f t="shared" si="4"/>
        <v>0</v>
      </c>
    </row>
    <row r="74" spans="1:13" s="1" customFormat="1" ht="12.75">
      <c r="A74" s="3">
        <v>43891</v>
      </c>
      <c r="B74" s="4">
        <v>0</v>
      </c>
      <c r="C74" s="7">
        <f>SUM(B74*B68)</f>
        <v>0</v>
      </c>
      <c r="D74" s="4">
        <v>0</v>
      </c>
      <c r="E74" s="7">
        <v>0</v>
      </c>
      <c r="F74" s="4">
        <v>0</v>
      </c>
      <c r="G74" s="7">
        <f>F74*F68</f>
        <v>0</v>
      </c>
      <c r="H74" s="4">
        <v>0</v>
      </c>
      <c r="I74" s="7">
        <f>SUM(H74*H68)</f>
        <v>0</v>
      </c>
      <c r="J74" s="4">
        <v>0</v>
      </c>
      <c r="K74" s="7">
        <v>0</v>
      </c>
      <c r="L74" s="6">
        <f t="shared" si="4"/>
        <v>0</v>
      </c>
      <c r="M74" s="8">
        <f t="shared" si="4"/>
        <v>0</v>
      </c>
    </row>
    <row r="75" spans="1:13" s="1" customFormat="1" ht="12.75">
      <c r="A75" s="3">
        <v>43922</v>
      </c>
      <c r="B75" s="4">
        <v>0</v>
      </c>
      <c r="C75" s="7">
        <f>SUM(B75*B68)</f>
        <v>0</v>
      </c>
      <c r="D75" s="4">
        <v>0</v>
      </c>
      <c r="E75" s="7">
        <v>0</v>
      </c>
      <c r="F75" s="4">
        <v>0</v>
      </c>
      <c r="G75" s="7">
        <f>F75*F68</f>
        <v>0</v>
      </c>
      <c r="H75" s="4">
        <v>0</v>
      </c>
      <c r="I75" s="7">
        <f>SUM(H75*H68)</f>
        <v>0</v>
      </c>
      <c r="J75" s="4">
        <v>0</v>
      </c>
      <c r="K75" s="7">
        <v>0</v>
      </c>
      <c r="L75" s="6">
        <f t="shared" si="4"/>
        <v>0</v>
      </c>
      <c r="M75" s="8">
        <f t="shared" si="4"/>
        <v>0</v>
      </c>
    </row>
    <row r="76" spans="1:13" s="1" customFormat="1" ht="12.75">
      <c r="A76" s="3">
        <v>43952</v>
      </c>
      <c r="B76" s="4">
        <v>0</v>
      </c>
      <c r="C76" s="7">
        <f>SUM(B76*B68)</f>
        <v>0</v>
      </c>
      <c r="D76" s="4">
        <v>0</v>
      </c>
      <c r="E76" s="7">
        <v>0</v>
      </c>
      <c r="F76" s="4">
        <v>0</v>
      </c>
      <c r="G76" s="7">
        <f>F76*F68</f>
        <v>0</v>
      </c>
      <c r="H76" s="4">
        <v>0</v>
      </c>
      <c r="I76" s="7">
        <f>SUM(H76*H68)</f>
        <v>0</v>
      </c>
      <c r="J76" s="4">
        <v>0</v>
      </c>
      <c r="K76" s="7">
        <v>0</v>
      </c>
      <c r="L76" s="6">
        <f t="shared" si="4"/>
        <v>0</v>
      </c>
      <c r="M76" s="8">
        <f t="shared" si="4"/>
        <v>0</v>
      </c>
    </row>
    <row r="77" spans="1:13" s="1" customFormat="1" ht="12.75">
      <c r="A77" s="3">
        <v>43983</v>
      </c>
      <c r="B77" s="4">
        <v>0</v>
      </c>
      <c r="C77" s="7">
        <f>SUM(B77*B68)</f>
        <v>0</v>
      </c>
      <c r="D77" s="4">
        <v>0</v>
      </c>
      <c r="E77" s="7">
        <v>0</v>
      </c>
      <c r="F77" s="4">
        <v>0</v>
      </c>
      <c r="G77" s="7">
        <f>F77*F68</f>
        <v>0</v>
      </c>
      <c r="H77" s="4">
        <v>0</v>
      </c>
      <c r="I77" s="7">
        <f>SUM(H77*H68)</f>
        <v>0</v>
      </c>
      <c r="J77" s="4">
        <v>0</v>
      </c>
      <c r="K77" s="7">
        <v>0</v>
      </c>
      <c r="L77" s="6">
        <f t="shared" si="4"/>
        <v>0</v>
      </c>
      <c r="M77" s="8">
        <f t="shared" si="4"/>
        <v>0</v>
      </c>
    </row>
    <row r="78" spans="1:13" s="1" customFormat="1" ht="12.75">
      <c r="A78" s="3">
        <v>44013</v>
      </c>
      <c r="B78" s="4">
        <v>0</v>
      </c>
      <c r="C78" s="7">
        <f>SUM(B78*B68)</f>
        <v>0</v>
      </c>
      <c r="D78" s="4">
        <v>0</v>
      </c>
      <c r="E78" s="7">
        <v>0</v>
      </c>
      <c r="F78" s="4">
        <v>0</v>
      </c>
      <c r="G78" s="7">
        <f>F78*F68</f>
        <v>0</v>
      </c>
      <c r="H78" s="4">
        <v>0</v>
      </c>
      <c r="I78" s="7">
        <f>SUM(H78*H68)</f>
        <v>0</v>
      </c>
      <c r="J78" s="4">
        <v>0</v>
      </c>
      <c r="K78" s="7">
        <v>0</v>
      </c>
      <c r="L78" s="6">
        <f t="shared" si="4"/>
        <v>0</v>
      </c>
      <c r="M78" s="8">
        <f t="shared" si="4"/>
        <v>0</v>
      </c>
    </row>
    <row r="79" spans="1:13" s="1" customFormat="1" ht="12.75">
      <c r="A79" s="3">
        <v>44044</v>
      </c>
      <c r="B79" s="4">
        <v>0</v>
      </c>
      <c r="C79" s="7">
        <f>SUM(B79*B68)</f>
        <v>0</v>
      </c>
      <c r="D79" s="4">
        <v>0</v>
      </c>
      <c r="E79" s="7">
        <v>0</v>
      </c>
      <c r="F79" s="4">
        <v>0</v>
      </c>
      <c r="G79" s="7">
        <f>F79*F68</f>
        <v>0</v>
      </c>
      <c r="H79" s="4">
        <v>0</v>
      </c>
      <c r="I79" s="7">
        <f>SUM(H79*H68)</f>
        <v>0</v>
      </c>
      <c r="J79" s="4">
        <v>0</v>
      </c>
      <c r="K79" s="7">
        <v>0</v>
      </c>
      <c r="L79" s="6">
        <f t="shared" si="4"/>
        <v>0</v>
      </c>
      <c r="M79" s="8">
        <f t="shared" si="4"/>
        <v>0</v>
      </c>
    </row>
    <row r="80" spans="1:13" s="1" customFormat="1" ht="12.75">
      <c r="A80" s="3">
        <v>44075</v>
      </c>
      <c r="B80" s="4">
        <v>0</v>
      </c>
      <c r="C80" s="7">
        <f>B80*B68</f>
        <v>0</v>
      </c>
      <c r="D80" s="4">
        <v>0</v>
      </c>
      <c r="E80" s="7">
        <v>0</v>
      </c>
      <c r="F80" s="4">
        <v>0</v>
      </c>
      <c r="G80" s="7">
        <f>F80*F68</f>
        <v>0</v>
      </c>
      <c r="H80" s="4">
        <v>0</v>
      </c>
      <c r="I80" s="7">
        <f>SUM(H80*H68)</f>
        <v>0</v>
      </c>
      <c r="J80" s="4">
        <v>0</v>
      </c>
      <c r="K80" s="7">
        <v>0</v>
      </c>
      <c r="L80" s="6">
        <f t="shared" si="4"/>
        <v>0</v>
      </c>
      <c r="M80" s="8">
        <f t="shared" si="4"/>
        <v>0</v>
      </c>
    </row>
    <row r="81" spans="1:13" s="1" customFormat="1" ht="13.5" thickBot="1">
      <c r="A81" s="13" t="s">
        <v>38</v>
      </c>
      <c r="B81" s="14">
        <f aca="true" t="shared" si="5" ref="B81:M81">SUM(B69:B80)</f>
        <v>26</v>
      </c>
      <c r="C81" s="16">
        <f t="shared" si="5"/>
        <v>26</v>
      </c>
      <c r="D81" s="14">
        <f t="shared" si="5"/>
        <v>20391</v>
      </c>
      <c r="E81" s="16">
        <f t="shared" si="5"/>
        <v>170776.5</v>
      </c>
      <c r="F81" s="17">
        <f t="shared" si="5"/>
        <v>8</v>
      </c>
      <c r="G81" s="16">
        <f t="shared" si="5"/>
        <v>80</v>
      </c>
      <c r="H81" s="14">
        <f t="shared" si="5"/>
        <v>1069</v>
      </c>
      <c r="I81" s="16">
        <f t="shared" si="5"/>
        <v>1069</v>
      </c>
      <c r="J81" s="14">
        <f t="shared" si="5"/>
        <v>6763</v>
      </c>
      <c r="K81" s="16">
        <f t="shared" si="5"/>
        <v>66966.95</v>
      </c>
      <c r="L81" s="18">
        <f t="shared" si="5"/>
        <v>135849</v>
      </c>
      <c r="M81" s="19">
        <f t="shared" si="5"/>
        <v>708881.7</v>
      </c>
    </row>
    <row r="82" spans="1:13" s="1" customFormat="1" ht="1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s="1" customFormat="1" ht="1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s="1" customFormat="1" ht="12">
      <c r="A84" s="2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1" customFormat="1" ht="15.75">
      <c r="A85" s="11" t="s">
        <v>24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1" customFormat="1" ht="17.25" customHeight="1">
      <c r="A86" s="33" t="s">
        <v>32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s="1" customFormat="1" ht="17.25" customHeight="1">
      <c r="A87" s="34" t="s">
        <v>0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1:13" s="1" customFormat="1" ht="17.2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="1" customFormat="1" ht="17.25" customHeight="1"/>
    <row r="90" s="1" customFormat="1" ht="17.25" customHeight="1"/>
    <row r="91" spans="1:13" s="1" customFormat="1" ht="13.5" customHeight="1">
      <c r="A91" s="11" t="s">
        <v>37</v>
      </c>
      <c r="B91" s="10"/>
      <c r="C91" s="10"/>
      <c r="D91" s="10"/>
      <c r="E91" s="12"/>
      <c r="F91" s="10"/>
      <c r="G91" s="10"/>
      <c r="H91" s="10"/>
      <c r="I91" s="10"/>
      <c r="J91" s="9"/>
      <c r="K91" s="9"/>
      <c r="L91" s="10"/>
      <c r="M91" s="10"/>
    </row>
    <row r="92" spans="1:13" s="1" customFormat="1" ht="13.5" thickBo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s="1" customFormat="1" ht="12.75">
      <c r="A93" s="21" t="s">
        <v>1</v>
      </c>
      <c r="B93" s="22" t="s">
        <v>31</v>
      </c>
      <c r="C93" s="22" t="s">
        <v>27</v>
      </c>
      <c r="D93" s="22" t="s">
        <v>2</v>
      </c>
      <c r="E93" s="22" t="s">
        <v>10</v>
      </c>
      <c r="F93" s="22" t="s">
        <v>3</v>
      </c>
      <c r="G93" s="23" t="s">
        <v>11</v>
      </c>
      <c r="H93" s="22" t="s">
        <v>4</v>
      </c>
      <c r="I93" s="23" t="s">
        <v>12</v>
      </c>
      <c r="J93" s="22" t="s">
        <v>5</v>
      </c>
      <c r="K93" s="23" t="s">
        <v>13</v>
      </c>
      <c r="L93" s="21" t="s">
        <v>6</v>
      </c>
      <c r="M93" s="22" t="s">
        <v>14</v>
      </c>
    </row>
    <row r="94" spans="1:13" s="2" customFormat="1" ht="13.5" thickBot="1">
      <c r="A94" s="24" t="s">
        <v>8</v>
      </c>
      <c r="B94" s="25">
        <v>3.75</v>
      </c>
      <c r="C94" s="26" t="s">
        <v>15</v>
      </c>
      <c r="D94" s="30" t="s">
        <v>39</v>
      </c>
      <c r="E94" s="26" t="s">
        <v>15</v>
      </c>
      <c r="F94" s="30" t="s">
        <v>40</v>
      </c>
      <c r="G94" s="27" t="s">
        <v>15</v>
      </c>
      <c r="H94" s="32" t="s">
        <v>41</v>
      </c>
      <c r="I94" s="27" t="s">
        <v>15</v>
      </c>
      <c r="J94" s="30" t="s">
        <v>42</v>
      </c>
      <c r="K94" s="27" t="s">
        <v>15</v>
      </c>
      <c r="L94" s="31" t="s">
        <v>43</v>
      </c>
      <c r="M94" s="26" t="s">
        <v>15</v>
      </c>
    </row>
    <row r="95" spans="1:13" s="2" customFormat="1" ht="12.75">
      <c r="A95" s="3">
        <v>43739</v>
      </c>
      <c r="B95" s="4">
        <v>123351</v>
      </c>
      <c r="C95" s="5">
        <f>SUM(B95*B94)</f>
        <v>462566.25</v>
      </c>
      <c r="D95" s="4">
        <v>2236</v>
      </c>
      <c r="E95" s="5">
        <v>22359.5</v>
      </c>
      <c r="F95" s="4">
        <v>1940</v>
      </c>
      <c r="G95" s="5">
        <v>26875.5</v>
      </c>
      <c r="H95" s="4">
        <v>49</v>
      </c>
      <c r="I95" s="5">
        <v>791</v>
      </c>
      <c r="J95" s="4">
        <v>17269</v>
      </c>
      <c r="K95" s="5">
        <v>343505.25</v>
      </c>
      <c r="L95" s="4">
        <v>1277</v>
      </c>
      <c r="M95" s="5">
        <v>30203</v>
      </c>
    </row>
    <row r="96" spans="1:13" s="2" customFormat="1" ht="12.75">
      <c r="A96" s="3">
        <v>43770</v>
      </c>
      <c r="B96" s="4">
        <v>120291</v>
      </c>
      <c r="C96" s="5">
        <f>SUM(B96*B94)</f>
        <v>451091.25</v>
      </c>
      <c r="D96" s="4">
        <v>1891</v>
      </c>
      <c r="E96" s="5">
        <v>18860</v>
      </c>
      <c r="F96" s="4">
        <v>1875</v>
      </c>
      <c r="G96" s="5">
        <v>26035.5</v>
      </c>
      <c r="H96" s="4">
        <v>29</v>
      </c>
      <c r="I96" s="5">
        <v>468.75</v>
      </c>
      <c r="J96" s="4">
        <v>15381</v>
      </c>
      <c r="K96" s="5">
        <v>304757.75</v>
      </c>
      <c r="L96" s="4">
        <v>887</v>
      </c>
      <c r="M96" s="5">
        <v>21053.25</v>
      </c>
    </row>
    <row r="97" spans="1:13" s="2" customFormat="1" ht="12.75">
      <c r="A97" s="3">
        <v>43800</v>
      </c>
      <c r="B97" s="4">
        <v>129784</v>
      </c>
      <c r="C97" s="5">
        <f>SUM(B97*B94)</f>
        <v>486690</v>
      </c>
      <c r="D97" s="4">
        <v>1822</v>
      </c>
      <c r="E97" s="5">
        <v>18167</v>
      </c>
      <c r="F97" s="4">
        <v>1873</v>
      </c>
      <c r="G97" s="5">
        <v>25975.5</v>
      </c>
      <c r="H97" s="4">
        <v>26</v>
      </c>
      <c r="I97" s="5">
        <v>418.75</v>
      </c>
      <c r="J97" s="4">
        <v>14875</v>
      </c>
      <c r="K97" s="5">
        <v>295836.75</v>
      </c>
      <c r="L97" s="4">
        <v>783</v>
      </c>
      <c r="M97" s="5">
        <v>18715.75</v>
      </c>
    </row>
    <row r="98" spans="1:13" s="2" customFormat="1" ht="12.75">
      <c r="A98" s="3">
        <v>43831</v>
      </c>
      <c r="B98" s="4">
        <v>0</v>
      </c>
      <c r="C98" s="5">
        <f>SUM(B98*B94)</f>
        <v>0</v>
      </c>
      <c r="D98" s="4">
        <v>0</v>
      </c>
      <c r="E98" s="5">
        <v>0</v>
      </c>
      <c r="F98" s="4">
        <v>0</v>
      </c>
      <c r="G98" s="5">
        <v>0</v>
      </c>
      <c r="H98" s="4">
        <v>0</v>
      </c>
      <c r="I98" s="5">
        <v>0</v>
      </c>
      <c r="J98" s="4">
        <v>0</v>
      </c>
      <c r="K98" s="5">
        <v>0</v>
      </c>
      <c r="L98" s="4">
        <v>0</v>
      </c>
      <c r="M98" s="5">
        <v>0</v>
      </c>
    </row>
    <row r="99" spans="1:13" s="2" customFormat="1" ht="12.75">
      <c r="A99" s="3">
        <v>43862</v>
      </c>
      <c r="B99" s="4">
        <v>0</v>
      </c>
      <c r="C99" s="5">
        <f>SUM(B99*B94)</f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  <c r="I99" s="5">
        <v>0</v>
      </c>
      <c r="J99" s="4">
        <v>0</v>
      </c>
      <c r="K99" s="5">
        <v>0</v>
      </c>
      <c r="L99" s="4">
        <v>0</v>
      </c>
      <c r="M99" s="5">
        <v>0</v>
      </c>
    </row>
    <row r="100" spans="1:13" s="2" customFormat="1" ht="12.75">
      <c r="A100" s="3">
        <v>43891</v>
      </c>
      <c r="B100" s="4">
        <v>0</v>
      </c>
      <c r="C100" s="5">
        <f>SUM(B100*B94)</f>
        <v>0</v>
      </c>
      <c r="D100" s="4">
        <v>0</v>
      </c>
      <c r="E100" s="5">
        <v>0</v>
      </c>
      <c r="F100" s="4">
        <v>0</v>
      </c>
      <c r="G100" s="5">
        <v>0</v>
      </c>
      <c r="H100" s="4">
        <v>0</v>
      </c>
      <c r="I100" s="5">
        <v>0</v>
      </c>
      <c r="J100" s="4">
        <v>0</v>
      </c>
      <c r="K100" s="5">
        <v>0</v>
      </c>
      <c r="L100" s="4">
        <v>0</v>
      </c>
      <c r="M100" s="5">
        <v>0</v>
      </c>
    </row>
    <row r="101" spans="1:13" s="2" customFormat="1" ht="12.75">
      <c r="A101" s="3">
        <v>43922</v>
      </c>
      <c r="B101" s="4">
        <v>0</v>
      </c>
      <c r="C101" s="5">
        <f>SUM(B101*B94)</f>
        <v>0</v>
      </c>
      <c r="D101" s="4">
        <v>0</v>
      </c>
      <c r="E101" s="5">
        <v>0</v>
      </c>
      <c r="F101" s="4">
        <v>0</v>
      </c>
      <c r="G101" s="5">
        <v>0</v>
      </c>
      <c r="H101" s="4">
        <v>0</v>
      </c>
      <c r="I101" s="5">
        <v>0</v>
      </c>
      <c r="J101" s="4">
        <v>0</v>
      </c>
      <c r="K101" s="5">
        <v>0</v>
      </c>
      <c r="L101" s="4">
        <v>0</v>
      </c>
      <c r="M101" s="5">
        <v>0</v>
      </c>
    </row>
    <row r="102" spans="1:13" s="2" customFormat="1" ht="12.75">
      <c r="A102" s="3">
        <v>43952</v>
      </c>
      <c r="B102" s="4">
        <v>0</v>
      </c>
      <c r="C102" s="5">
        <f>SUM(B102*B94)</f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  <c r="I102" s="5">
        <v>0</v>
      </c>
      <c r="J102" s="4">
        <v>0</v>
      </c>
      <c r="K102" s="5">
        <v>0</v>
      </c>
      <c r="L102" s="4">
        <v>0</v>
      </c>
      <c r="M102" s="5">
        <v>0</v>
      </c>
    </row>
    <row r="103" spans="1:13" s="2" customFormat="1" ht="12.75">
      <c r="A103" s="3">
        <v>43983</v>
      </c>
      <c r="B103" s="4">
        <v>0</v>
      </c>
      <c r="C103" s="5">
        <f>SUM(B103*B94)</f>
        <v>0</v>
      </c>
      <c r="D103" s="4">
        <v>0</v>
      </c>
      <c r="E103" s="5">
        <v>0</v>
      </c>
      <c r="F103" s="4">
        <v>0</v>
      </c>
      <c r="G103" s="5">
        <v>0</v>
      </c>
      <c r="H103" s="4">
        <v>0</v>
      </c>
      <c r="I103" s="5">
        <v>0</v>
      </c>
      <c r="J103" s="4">
        <v>0</v>
      </c>
      <c r="K103" s="5">
        <v>0</v>
      </c>
      <c r="L103" s="4">
        <v>0</v>
      </c>
      <c r="M103" s="5">
        <v>0</v>
      </c>
    </row>
    <row r="104" spans="1:13" s="2" customFormat="1" ht="12.75">
      <c r="A104" s="3">
        <v>44013</v>
      </c>
      <c r="B104" s="4">
        <v>0</v>
      </c>
      <c r="C104" s="5">
        <f>SUM(B104*B94)</f>
        <v>0</v>
      </c>
      <c r="D104" s="4">
        <v>0</v>
      </c>
      <c r="E104" s="5">
        <v>0</v>
      </c>
      <c r="F104" s="4">
        <v>0</v>
      </c>
      <c r="G104" s="5">
        <v>0</v>
      </c>
      <c r="H104" s="4">
        <v>0</v>
      </c>
      <c r="I104" s="5">
        <v>0</v>
      </c>
      <c r="J104" s="4">
        <v>0</v>
      </c>
      <c r="K104" s="5">
        <v>0</v>
      </c>
      <c r="L104" s="4">
        <v>0</v>
      </c>
      <c r="M104" s="5">
        <v>0</v>
      </c>
    </row>
    <row r="105" spans="1:13" s="2" customFormat="1" ht="12.75">
      <c r="A105" s="3">
        <v>44044</v>
      </c>
      <c r="B105" s="4">
        <v>0</v>
      </c>
      <c r="C105" s="5">
        <f>SUM(B105*B94)</f>
        <v>0</v>
      </c>
      <c r="D105" s="4">
        <v>0</v>
      </c>
      <c r="E105" s="5">
        <v>0</v>
      </c>
      <c r="F105" s="4">
        <v>0</v>
      </c>
      <c r="G105" s="5">
        <v>0</v>
      </c>
      <c r="H105" s="4">
        <v>0</v>
      </c>
      <c r="I105" s="5">
        <v>0</v>
      </c>
      <c r="J105" s="4">
        <v>0</v>
      </c>
      <c r="K105" s="5">
        <v>0</v>
      </c>
      <c r="L105" s="4">
        <v>0</v>
      </c>
      <c r="M105" s="5">
        <v>0</v>
      </c>
    </row>
    <row r="106" spans="1:13" s="2" customFormat="1" ht="12.75">
      <c r="A106" s="3">
        <v>44075</v>
      </c>
      <c r="B106" s="4">
        <v>0</v>
      </c>
      <c r="C106" s="5">
        <f>B106*B94</f>
        <v>0</v>
      </c>
      <c r="D106" s="4">
        <v>0</v>
      </c>
      <c r="E106" s="5">
        <v>0</v>
      </c>
      <c r="F106" s="4">
        <v>0</v>
      </c>
      <c r="G106" s="5">
        <v>0</v>
      </c>
      <c r="H106" s="4">
        <v>0</v>
      </c>
      <c r="I106" s="5">
        <v>0</v>
      </c>
      <c r="J106" s="4">
        <v>0</v>
      </c>
      <c r="K106" s="5">
        <v>0</v>
      </c>
      <c r="L106" s="4">
        <v>0</v>
      </c>
      <c r="M106" s="5">
        <v>0</v>
      </c>
    </row>
    <row r="107" spans="1:13" s="2" customFormat="1" ht="13.5" thickBot="1">
      <c r="A107" s="13" t="s">
        <v>38</v>
      </c>
      <c r="B107" s="14">
        <f aca="true" t="shared" si="6" ref="B107:M107">SUM(B95:B106)</f>
        <v>373426</v>
      </c>
      <c r="C107" s="15">
        <f t="shared" si="6"/>
        <v>1400347.5</v>
      </c>
      <c r="D107" s="14">
        <f t="shared" si="6"/>
        <v>5949</v>
      </c>
      <c r="E107" s="15">
        <f t="shared" si="6"/>
        <v>59386.5</v>
      </c>
      <c r="F107" s="14">
        <f t="shared" si="6"/>
        <v>5688</v>
      </c>
      <c r="G107" s="15">
        <f t="shared" si="6"/>
        <v>78886.5</v>
      </c>
      <c r="H107" s="14">
        <f t="shared" si="6"/>
        <v>104</v>
      </c>
      <c r="I107" s="15">
        <f t="shared" si="6"/>
        <v>1678.5</v>
      </c>
      <c r="J107" s="14">
        <f t="shared" si="6"/>
        <v>47525</v>
      </c>
      <c r="K107" s="15">
        <f t="shared" si="6"/>
        <v>944099.75</v>
      </c>
      <c r="L107" s="14">
        <f t="shared" si="6"/>
        <v>2947</v>
      </c>
      <c r="M107" s="15">
        <f t="shared" si="6"/>
        <v>69972</v>
      </c>
    </row>
    <row r="108" spans="1:13" s="2" customFormat="1" ht="12.75" thickBo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s="1" customFormat="1" ht="12.75">
      <c r="A109" s="21" t="s">
        <v>1</v>
      </c>
      <c r="B109" s="22" t="s">
        <v>16</v>
      </c>
      <c r="C109" s="22" t="s">
        <v>17</v>
      </c>
      <c r="D109" s="22" t="s">
        <v>25</v>
      </c>
      <c r="E109" s="22" t="s">
        <v>26</v>
      </c>
      <c r="F109" s="22" t="s">
        <v>18</v>
      </c>
      <c r="G109" s="22" t="s">
        <v>19</v>
      </c>
      <c r="H109" s="22" t="s">
        <v>7</v>
      </c>
      <c r="I109" s="22" t="s">
        <v>28</v>
      </c>
      <c r="J109" s="22" t="s">
        <v>20</v>
      </c>
      <c r="K109" s="22" t="s">
        <v>21</v>
      </c>
      <c r="L109" s="22" t="s">
        <v>22</v>
      </c>
      <c r="M109" s="22" t="s">
        <v>22</v>
      </c>
    </row>
    <row r="110" spans="1:13" s="1" customFormat="1" ht="13.5" thickBot="1">
      <c r="A110" s="24" t="s">
        <v>8</v>
      </c>
      <c r="B110" s="25">
        <v>1</v>
      </c>
      <c r="C110" s="26" t="s">
        <v>15</v>
      </c>
      <c r="D110" s="25" t="s">
        <v>29</v>
      </c>
      <c r="E110" s="26" t="s">
        <v>15</v>
      </c>
      <c r="F110" s="25">
        <v>10</v>
      </c>
      <c r="G110" s="26" t="s">
        <v>15</v>
      </c>
      <c r="H110" s="25">
        <v>1</v>
      </c>
      <c r="I110" s="26" t="s">
        <v>15</v>
      </c>
      <c r="J110" s="26"/>
      <c r="K110" s="26" t="s">
        <v>15</v>
      </c>
      <c r="L110" s="26" t="s">
        <v>23</v>
      </c>
      <c r="M110" s="26" t="s">
        <v>9</v>
      </c>
    </row>
    <row r="111" spans="1:13" s="1" customFormat="1" ht="12.75">
      <c r="A111" s="3">
        <v>43739</v>
      </c>
      <c r="B111" s="4">
        <v>1038</v>
      </c>
      <c r="C111" s="7">
        <f>SUM(B111*B110)</f>
        <v>1038</v>
      </c>
      <c r="D111" s="4">
        <v>0</v>
      </c>
      <c r="E111" s="7">
        <v>0</v>
      </c>
      <c r="F111" s="4">
        <v>12</v>
      </c>
      <c r="G111" s="7">
        <f>F111*F110</f>
        <v>120</v>
      </c>
      <c r="H111" s="4">
        <v>103</v>
      </c>
      <c r="I111" s="7">
        <f>SUM(H111*H110)</f>
        <v>103</v>
      </c>
      <c r="J111" s="4">
        <f>12+193+271</f>
        <v>476</v>
      </c>
      <c r="K111" s="7">
        <f>968+579+948.5+2792.26+4</f>
        <v>5291.76</v>
      </c>
      <c r="L111" s="6">
        <f aca="true" t="shared" si="7" ref="L111:M122">B95+D95+F95+H95+J95+L95+B111+D111+F111+H111+J111</f>
        <v>147751</v>
      </c>
      <c r="M111" s="8">
        <f t="shared" si="7"/>
        <v>892853.26</v>
      </c>
    </row>
    <row r="112" spans="1:13" s="1" customFormat="1" ht="12.75">
      <c r="A112" s="3">
        <v>43770</v>
      </c>
      <c r="B112" s="4">
        <v>924</v>
      </c>
      <c r="C112" s="7">
        <f>SUM(B112*B110)</f>
        <v>924</v>
      </c>
      <c r="D112" s="4">
        <v>0</v>
      </c>
      <c r="E112" s="7">
        <v>0</v>
      </c>
      <c r="F112" s="4">
        <v>8</v>
      </c>
      <c r="G112" s="7">
        <f>F112*F110</f>
        <v>80</v>
      </c>
      <c r="H112" s="4">
        <v>124</v>
      </c>
      <c r="I112" s="7">
        <f>SUM(H112*H110)</f>
        <v>124</v>
      </c>
      <c r="J112" s="4">
        <f>8+206+222</f>
        <v>436</v>
      </c>
      <c r="K112" s="7">
        <f>271.5+618+777+2754.81+10</f>
        <v>4431.3099999999995</v>
      </c>
      <c r="L112" s="6">
        <f t="shared" si="7"/>
        <v>141846</v>
      </c>
      <c r="M112" s="8">
        <f t="shared" si="7"/>
        <v>827825.81</v>
      </c>
    </row>
    <row r="113" spans="1:13" s="1" customFormat="1" ht="12.75">
      <c r="A113" s="3">
        <v>43800</v>
      </c>
      <c r="B113" s="4">
        <v>964</v>
      </c>
      <c r="C113" s="7">
        <f>SUM(B113*B110)</f>
        <v>964</v>
      </c>
      <c r="D113" s="4">
        <v>0</v>
      </c>
      <c r="E113" s="7">
        <v>0</v>
      </c>
      <c r="F113" s="4">
        <v>9</v>
      </c>
      <c r="G113" s="7">
        <f>F113*F110</f>
        <v>90</v>
      </c>
      <c r="H113" s="4">
        <v>269</v>
      </c>
      <c r="I113" s="7">
        <f>SUM(H113*H110)</f>
        <v>269</v>
      </c>
      <c r="J113" s="4">
        <f>2+470+233</f>
        <v>705</v>
      </c>
      <c r="K113" s="7">
        <f>67+1410+815.5+3064.48+26.08</f>
        <v>5383.0599999999995</v>
      </c>
      <c r="L113" s="6">
        <f t="shared" si="7"/>
        <v>151110</v>
      </c>
      <c r="M113" s="8">
        <f t="shared" si="7"/>
        <v>852509.81</v>
      </c>
    </row>
    <row r="114" spans="1:13" s="1" customFormat="1" ht="12.75">
      <c r="A114" s="3">
        <v>43831</v>
      </c>
      <c r="B114" s="4">
        <v>0</v>
      </c>
      <c r="C114" s="7">
        <f>SUM(B114*B110)</f>
        <v>0</v>
      </c>
      <c r="D114" s="4">
        <v>0</v>
      </c>
      <c r="E114" s="7">
        <v>0</v>
      </c>
      <c r="F114" s="4">
        <v>0</v>
      </c>
      <c r="G114" s="7">
        <f>F114*F110</f>
        <v>0</v>
      </c>
      <c r="H114" s="4">
        <v>0</v>
      </c>
      <c r="I114" s="7">
        <f>SUM(H114*H110)</f>
        <v>0</v>
      </c>
      <c r="J114" s="4">
        <v>0</v>
      </c>
      <c r="K114" s="7">
        <v>0</v>
      </c>
      <c r="L114" s="6">
        <f t="shared" si="7"/>
        <v>0</v>
      </c>
      <c r="M114" s="8">
        <f t="shared" si="7"/>
        <v>0</v>
      </c>
    </row>
    <row r="115" spans="1:13" s="1" customFormat="1" ht="12.75">
      <c r="A115" s="3">
        <v>43862</v>
      </c>
      <c r="B115" s="4">
        <v>0</v>
      </c>
      <c r="C115" s="7">
        <f>SUM(B115*B110)</f>
        <v>0</v>
      </c>
      <c r="D115" s="4">
        <v>0</v>
      </c>
      <c r="E115" s="7">
        <v>0</v>
      </c>
      <c r="F115" s="4">
        <v>0</v>
      </c>
      <c r="G115" s="7">
        <f>F115*F110</f>
        <v>0</v>
      </c>
      <c r="H115" s="4">
        <v>0</v>
      </c>
      <c r="I115" s="7">
        <f>SUM(H115*H110)</f>
        <v>0</v>
      </c>
      <c r="J115" s="4">
        <v>0</v>
      </c>
      <c r="K115" s="7">
        <v>0</v>
      </c>
      <c r="L115" s="6">
        <f t="shared" si="7"/>
        <v>0</v>
      </c>
      <c r="M115" s="8">
        <f t="shared" si="7"/>
        <v>0</v>
      </c>
    </row>
    <row r="116" spans="1:13" s="1" customFormat="1" ht="12.75">
      <c r="A116" s="3">
        <v>43891</v>
      </c>
      <c r="B116" s="4">
        <v>0</v>
      </c>
      <c r="C116" s="7">
        <f>SUM(B116*B110)</f>
        <v>0</v>
      </c>
      <c r="D116" s="4">
        <v>0</v>
      </c>
      <c r="E116" s="7">
        <v>0</v>
      </c>
      <c r="F116" s="4">
        <v>0</v>
      </c>
      <c r="G116" s="7">
        <f>F116*F110</f>
        <v>0</v>
      </c>
      <c r="H116" s="4">
        <v>0</v>
      </c>
      <c r="I116" s="7">
        <f>SUM(H116*H110)</f>
        <v>0</v>
      </c>
      <c r="J116" s="4">
        <v>0</v>
      </c>
      <c r="K116" s="7">
        <v>0</v>
      </c>
      <c r="L116" s="6">
        <f t="shared" si="7"/>
        <v>0</v>
      </c>
      <c r="M116" s="8">
        <f t="shared" si="7"/>
        <v>0</v>
      </c>
    </row>
    <row r="117" spans="1:13" s="1" customFormat="1" ht="12.75">
      <c r="A117" s="3">
        <v>43922</v>
      </c>
      <c r="B117" s="4">
        <v>0</v>
      </c>
      <c r="C117" s="7">
        <f>SUM(B117*B110)</f>
        <v>0</v>
      </c>
      <c r="D117" s="4">
        <v>0</v>
      </c>
      <c r="E117" s="7">
        <v>0</v>
      </c>
      <c r="F117" s="4">
        <v>0</v>
      </c>
      <c r="G117" s="7">
        <f>F117*F110</f>
        <v>0</v>
      </c>
      <c r="H117" s="4">
        <v>0</v>
      </c>
      <c r="I117" s="7">
        <f>SUM(H117*H110)</f>
        <v>0</v>
      </c>
      <c r="J117" s="4">
        <v>0</v>
      </c>
      <c r="K117" s="7">
        <v>0</v>
      </c>
      <c r="L117" s="6">
        <f t="shared" si="7"/>
        <v>0</v>
      </c>
      <c r="M117" s="8">
        <f t="shared" si="7"/>
        <v>0</v>
      </c>
    </row>
    <row r="118" spans="1:13" s="1" customFormat="1" ht="12.75">
      <c r="A118" s="3">
        <v>43952</v>
      </c>
      <c r="B118" s="4">
        <v>0</v>
      </c>
      <c r="C118" s="7">
        <f>SUM(B118*B110)</f>
        <v>0</v>
      </c>
      <c r="D118" s="4">
        <v>0</v>
      </c>
      <c r="E118" s="7">
        <v>0</v>
      </c>
      <c r="F118" s="4">
        <v>0</v>
      </c>
      <c r="G118" s="7">
        <f>F118*F110</f>
        <v>0</v>
      </c>
      <c r="H118" s="4">
        <v>0</v>
      </c>
      <c r="I118" s="7">
        <f>SUM(H118*H110)</f>
        <v>0</v>
      </c>
      <c r="J118" s="4">
        <v>0</v>
      </c>
      <c r="K118" s="7">
        <v>0</v>
      </c>
      <c r="L118" s="6">
        <f t="shared" si="7"/>
        <v>0</v>
      </c>
      <c r="M118" s="8">
        <f t="shared" si="7"/>
        <v>0</v>
      </c>
    </row>
    <row r="119" spans="1:13" s="1" customFormat="1" ht="12.75">
      <c r="A119" s="3">
        <v>43983</v>
      </c>
      <c r="B119" s="4">
        <v>0</v>
      </c>
      <c r="C119" s="7">
        <f>SUM(B119*B110)</f>
        <v>0</v>
      </c>
      <c r="D119" s="4">
        <v>0</v>
      </c>
      <c r="E119" s="7">
        <v>0</v>
      </c>
      <c r="F119" s="4">
        <v>0</v>
      </c>
      <c r="G119" s="7">
        <f>F119*F110</f>
        <v>0</v>
      </c>
      <c r="H119" s="4">
        <v>0</v>
      </c>
      <c r="I119" s="7">
        <f>SUM(H119*H110)</f>
        <v>0</v>
      </c>
      <c r="J119" s="4">
        <v>0</v>
      </c>
      <c r="K119" s="7">
        <v>0</v>
      </c>
      <c r="L119" s="6">
        <f t="shared" si="7"/>
        <v>0</v>
      </c>
      <c r="M119" s="8">
        <f t="shared" si="7"/>
        <v>0</v>
      </c>
    </row>
    <row r="120" spans="1:13" s="1" customFormat="1" ht="12.75">
      <c r="A120" s="3">
        <v>44013</v>
      </c>
      <c r="B120" s="4">
        <v>0</v>
      </c>
      <c r="C120" s="7">
        <f>SUM(B120*B110)</f>
        <v>0</v>
      </c>
      <c r="D120" s="4">
        <v>0</v>
      </c>
      <c r="E120" s="7">
        <v>0</v>
      </c>
      <c r="F120" s="4">
        <v>0</v>
      </c>
      <c r="G120" s="7">
        <f>F120*F110</f>
        <v>0</v>
      </c>
      <c r="H120" s="4">
        <v>0</v>
      </c>
      <c r="I120" s="7">
        <f>SUM(H120*H110)</f>
        <v>0</v>
      </c>
      <c r="J120" s="4">
        <v>0</v>
      </c>
      <c r="K120" s="7">
        <v>0</v>
      </c>
      <c r="L120" s="6">
        <f t="shared" si="7"/>
        <v>0</v>
      </c>
      <c r="M120" s="8">
        <f t="shared" si="7"/>
        <v>0</v>
      </c>
    </row>
    <row r="121" spans="1:13" s="1" customFormat="1" ht="12.75">
      <c r="A121" s="3">
        <v>44044</v>
      </c>
      <c r="B121" s="4">
        <v>0</v>
      </c>
      <c r="C121" s="7">
        <f>SUM(B121*B110)</f>
        <v>0</v>
      </c>
      <c r="D121" s="4">
        <v>0</v>
      </c>
      <c r="E121" s="7">
        <v>0</v>
      </c>
      <c r="F121" s="4">
        <v>0</v>
      </c>
      <c r="G121" s="7">
        <f>F121*F110</f>
        <v>0</v>
      </c>
      <c r="H121" s="4">
        <v>0</v>
      </c>
      <c r="I121" s="7">
        <f>SUM(H121*H110)</f>
        <v>0</v>
      </c>
      <c r="J121" s="4">
        <v>0</v>
      </c>
      <c r="K121" s="7">
        <v>0</v>
      </c>
      <c r="L121" s="6">
        <f t="shared" si="7"/>
        <v>0</v>
      </c>
      <c r="M121" s="8">
        <f t="shared" si="7"/>
        <v>0</v>
      </c>
    </row>
    <row r="122" spans="1:13" s="1" customFormat="1" ht="12.75">
      <c r="A122" s="3">
        <v>44075</v>
      </c>
      <c r="B122" s="4">
        <v>0</v>
      </c>
      <c r="C122" s="7">
        <f>SUM(B122*B110)</f>
        <v>0</v>
      </c>
      <c r="D122" s="4">
        <v>0</v>
      </c>
      <c r="E122" s="7">
        <v>0</v>
      </c>
      <c r="F122" s="4">
        <v>0</v>
      </c>
      <c r="G122" s="7">
        <f>F122*F110</f>
        <v>0</v>
      </c>
      <c r="H122" s="4">
        <v>0</v>
      </c>
      <c r="I122" s="7">
        <f>SUM(H122*H110)</f>
        <v>0</v>
      </c>
      <c r="J122" s="4">
        <v>0</v>
      </c>
      <c r="K122" s="7">
        <v>0</v>
      </c>
      <c r="L122" s="6">
        <f t="shared" si="7"/>
        <v>0</v>
      </c>
      <c r="M122" s="8">
        <f t="shared" si="7"/>
        <v>0</v>
      </c>
    </row>
    <row r="123" spans="1:13" s="1" customFormat="1" ht="13.5" thickBot="1">
      <c r="A123" s="13" t="s">
        <v>38</v>
      </c>
      <c r="B123" s="14">
        <f aca="true" t="shared" si="8" ref="B123:M123">SUM(B111:B122)</f>
        <v>2926</v>
      </c>
      <c r="C123" s="16">
        <f t="shared" si="8"/>
        <v>2926</v>
      </c>
      <c r="D123" s="17">
        <f t="shared" si="8"/>
        <v>0</v>
      </c>
      <c r="E123" s="16">
        <f t="shared" si="8"/>
        <v>0</v>
      </c>
      <c r="F123" s="17">
        <f t="shared" si="8"/>
        <v>29</v>
      </c>
      <c r="G123" s="16">
        <f t="shared" si="8"/>
        <v>290</v>
      </c>
      <c r="H123" s="17">
        <f t="shared" si="8"/>
        <v>496</v>
      </c>
      <c r="I123" s="16">
        <f t="shared" si="8"/>
        <v>496</v>
      </c>
      <c r="J123" s="14">
        <f t="shared" si="8"/>
        <v>1617</v>
      </c>
      <c r="K123" s="16">
        <f t="shared" si="8"/>
        <v>15106.13</v>
      </c>
      <c r="L123" s="18">
        <f t="shared" si="8"/>
        <v>440707</v>
      </c>
      <c r="M123" s="19">
        <f t="shared" si="8"/>
        <v>2573188.88</v>
      </c>
    </row>
    <row r="124" spans="1:13" s="1" customFormat="1" ht="1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s="1" customFormat="1" ht="1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s="1" customFormat="1" ht="12">
      <c r="A126" s="20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s="1" customFormat="1" ht="15.75">
      <c r="A127" s="11" t="s">
        <v>24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s="1" customFormat="1" ht="17.25" customHeight="1">
      <c r="A128" s="33" t="s">
        <v>33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s="1" customFormat="1" ht="17.25" customHeight="1">
      <c r="A129" s="34" t="s">
        <v>0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s="1" customFormat="1" ht="17.2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="1" customFormat="1" ht="17.25" customHeight="1"/>
    <row r="132" s="1" customFormat="1" ht="17.25" customHeight="1"/>
    <row r="133" spans="1:13" s="1" customFormat="1" ht="13.5" customHeight="1">
      <c r="A133" s="11" t="s">
        <v>37</v>
      </c>
      <c r="B133" s="10"/>
      <c r="C133" s="10"/>
      <c r="D133" s="10"/>
      <c r="E133" s="12"/>
      <c r="F133" s="10"/>
      <c r="G133" s="10"/>
      <c r="H133" s="10"/>
      <c r="I133" s="10"/>
      <c r="J133" s="9"/>
      <c r="K133" s="9"/>
      <c r="L133" s="10"/>
      <c r="M133" s="10"/>
    </row>
    <row r="134" spans="1:13" ht="13.5" thickBo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21" t="s">
        <v>1</v>
      </c>
      <c r="B135" s="22" t="s">
        <v>31</v>
      </c>
      <c r="C135" s="22" t="s">
        <v>27</v>
      </c>
      <c r="D135" s="22" t="s">
        <v>2</v>
      </c>
      <c r="E135" s="22" t="s">
        <v>10</v>
      </c>
      <c r="F135" s="22" t="s">
        <v>3</v>
      </c>
      <c r="G135" s="23" t="s">
        <v>11</v>
      </c>
      <c r="H135" s="22" t="s">
        <v>4</v>
      </c>
      <c r="I135" s="23" t="s">
        <v>12</v>
      </c>
      <c r="J135" s="22" t="s">
        <v>5</v>
      </c>
      <c r="K135" s="23" t="s">
        <v>13</v>
      </c>
      <c r="L135" s="21" t="s">
        <v>6</v>
      </c>
      <c r="M135" s="22" t="s">
        <v>14</v>
      </c>
    </row>
    <row r="136" spans="1:13" ht="13.5" thickBot="1">
      <c r="A136" s="24" t="s">
        <v>8</v>
      </c>
      <c r="B136" s="25">
        <v>3.75</v>
      </c>
      <c r="C136" s="26" t="s">
        <v>15</v>
      </c>
      <c r="D136" s="30" t="s">
        <v>39</v>
      </c>
      <c r="E136" s="26" t="s">
        <v>15</v>
      </c>
      <c r="F136" s="30" t="s">
        <v>40</v>
      </c>
      <c r="G136" s="27" t="s">
        <v>15</v>
      </c>
      <c r="H136" s="32" t="s">
        <v>41</v>
      </c>
      <c r="I136" s="27" t="s">
        <v>15</v>
      </c>
      <c r="J136" s="30" t="s">
        <v>42</v>
      </c>
      <c r="K136" s="27" t="s">
        <v>15</v>
      </c>
      <c r="L136" s="31" t="s">
        <v>43</v>
      </c>
      <c r="M136" s="26" t="s">
        <v>15</v>
      </c>
    </row>
    <row r="137" spans="1:13" ht="12.75">
      <c r="A137" s="3">
        <v>43739</v>
      </c>
      <c r="B137" s="4">
        <f aca="true" t="shared" si="9" ref="B137:M148">B11+B53+B95</f>
        <v>254668</v>
      </c>
      <c r="C137" s="5">
        <f t="shared" si="9"/>
        <v>955005</v>
      </c>
      <c r="D137" s="4">
        <f t="shared" si="9"/>
        <v>2348</v>
      </c>
      <c r="E137" s="5">
        <f t="shared" si="9"/>
        <v>23492.5</v>
      </c>
      <c r="F137" s="4">
        <f t="shared" si="9"/>
        <v>2826</v>
      </c>
      <c r="G137" s="5">
        <f t="shared" si="9"/>
        <v>39891</v>
      </c>
      <c r="H137" s="4">
        <f t="shared" si="9"/>
        <v>62</v>
      </c>
      <c r="I137" s="5">
        <f t="shared" si="9"/>
        <v>1011.75</v>
      </c>
      <c r="J137" s="4">
        <f t="shared" si="9"/>
        <v>18029</v>
      </c>
      <c r="K137" s="5">
        <f t="shared" si="9"/>
        <v>358701.75</v>
      </c>
      <c r="L137" s="4">
        <f t="shared" si="9"/>
        <v>1353</v>
      </c>
      <c r="M137" s="5">
        <f t="shared" si="9"/>
        <v>32094.25</v>
      </c>
    </row>
    <row r="138" spans="1:13" ht="12.75">
      <c r="A138" s="3">
        <v>43770</v>
      </c>
      <c r="B138" s="4">
        <f t="shared" si="9"/>
        <v>257015</v>
      </c>
      <c r="C138" s="5">
        <f t="shared" si="9"/>
        <v>963806.25</v>
      </c>
      <c r="D138" s="4">
        <f t="shared" si="9"/>
        <v>1992</v>
      </c>
      <c r="E138" s="5">
        <f t="shared" si="9"/>
        <v>19905</v>
      </c>
      <c r="F138" s="4">
        <f t="shared" si="9"/>
        <v>2812</v>
      </c>
      <c r="G138" s="5">
        <f t="shared" si="9"/>
        <v>39892.5</v>
      </c>
      <c r="H138" s="4">
        <f t="shared" si="9"/>
        <v>43</v>
      </c>
      <c r="I138" s="5">
        <f t="shared" si="9"/>
        <v>710.25</v>
      </c>
      <c r="J138" s="4">
        <f t="shared" si="9"/>
        <v>16008</v>
      </c>
      <c r="K138" s="5">
        <f t="shared" si="9"/>
        <v>317328</v>
      </c>
      <c r="L138" s="4">
        <f t="shared" si="9"/>
        <v>982</v>
      </c>
      <c r="M138" s="5">
        <f t="shared" si="9"/>
        <v>23379.25</v>
      </c>
    </row>
    <row r="139" spans="1:13" ht="12.75">
      <c r="A139" s="3">
        <v>43800</v>
      </c>
      <c r="B139" s="4">
        <f t="shared" si="9"/>
        <v>276023</v>
      </c>
      <c r="C139" s="5">
        <f t="shared" si="9"/>
        <v>1035086.25</v>
      </c>
      <c r="D139" s="4">
        <f t="shared" si="9"/>
        <v>1935</v>
      </c>
      <c r="E139" s="5">
        <f t="shared" si="9"/>
        <v>19348.5</v>
      </c>
      <c r="F139" s="4">
        <f t="shared" si="9"/>
        <v>2586</v>
      </c>
      <c r="G139" s="5">
        <f t="shared" si="9"/>
        <v>36544.5</v>
      </c>
      <c r="H139" s="4">
        <f t="shared" si="9"/>
        <v>27</v>
      </c>
      <c r="I139" s="5">
        <f t="shared" si="9"/>
        <v>436</v>
      </c>
      <c r="J139" s="4">
        <f t="shared" si="9"/>
        <v>15412</v>
      </c>
      <c r="K139" s="5">
        <f t="shared" si="9"/>
        <v>306770.75</v>
      </c>
      <c r="L139" s="4">
        <f t="shared" si="9"/>
        <v>831</v>
      </c>
      <c r="M139" s="5">
        <f t="shared" si="9"/>
        <v>19884.25</v>
      </c>
    </row>
    <row r="140" spans="1:13" ht="12.75">
      <c r="A140" s="3">
        <v>43831</v>
      </c>
      <c r="B140" s="4">
        <f t="shared" si="9"/>
        <v>0</v>
      </c>
      <c r="C140" s="5">
        <f t="shared" si="9"/>
        <v>0</v>
      </c>
      <c r="D140" s="4">
        <f t="shared" si="9"/>
        <v>0</v>
      </c>
      <c r="E140" s="5">
        <f t="shared" si="9"/>
        <v>0</v>
      </c>
      <c r="F140" s="4">
        <f t="shared" si="9"/>
        <v>0</v>
      </c>
      <c r="G140" s="5">
        <f t="shared" si="9"/>
        <v>0</v>
      </c>
      <c r="H140" s="4">
        <f t="shared" si="9"/>
        <v>0</v>
      </c>
      <c r="I140" s="5">
        <f t="shared" si="9"/>
        <v>0</v>
      </c>
      <c r="J140" s="4">
        <f t="shared" si="9"/>
        <v>0</v>
      </c>
      <c r="K140" s="5">
        <f t="shared" si="9"/>
        <v>0</v>
      </c>
      <c r="L140" s="4">
        <f t="shared" si="9"/>
        <v>0</v>
      </c>
      <c r="M140" s="5">
        <f t="shared" si="9"/>
        <v>0</v>
      </c>
    </row>
    <row r="141" spans="1:13" ht="12.75">
      <c r="A141" s="3">
        <v>43862</v>
      </c>
      <c r="B141" s="4">
        <f t="shared" si="9"/>
        <v>0</v>
      </c>
      <c r="C141" s="5">
        <f t="shared" si="9"/>
        <v>0</v>
      </c>
      <c r="D141" s="4">
        <f t="shared" si="9"/>
        <v>0</v>
      </c>
      <c r="E141" s="5">
        <f t="shared" si="9"/>
        <v>0</v>
      </c>
      <c r="F141" s="4">
        <f t="shared" si="9"/>
        <v>0</v>
      </c>
      <c r="G141" s="5">
        <f t="shared" si="9"/>
        <v>0</v>
      </c>
      <c r="H141" s="4">
        <f t="shared" si="9"/>
        <v>0</v>
      </c>
      <c r="I141" s="5">
        <f t="shared" si="9"/>
        <v>0</v>
      </c>
      <c r="J141" s="4">
        <f t="shared" si="9"/>
        <v>0</v>
      </c>
      <c r="K141" s="5">
        <f t="shared" si="9"/>
        <v>0</v>
      </c>
      <c r="L141" s="4">
        <f t="shared" si="9"/>
        <v>0</v>
      </c>
      <c r="M141" s="5">
        <f t="shared" si="9"/>
        <v>0</v>
      </c>
    </row>
    <row r="142" spans="1:13" ht="12.75">
      <c r="A142" s="3">
        <v>43891</v>
      </c>
      <c r="B142" s="4">
        <f t="shared" si="9"/>
        <v>0</v>
      </c>
      <c r="C142" s="5">
        <f t="shared" si="9"/>
        <v>0</v>
      </c>
      <c r="D142" s="4">
        <f t="shared" si="9"/>
        <v>0</v>
      </c>
      <c r="E142" s="5">
        <f t="shared" si="9"/>
        <v>0</v>
      </c>
      <c r="F142" s="4">
        <f t="shared" si="9"/>
        <v>0</v>
      </c>
      <c r="G142" s="5">
        <f t="shared" si="9"/>
        <v>0</v>
      </c>
      <c r="H142" s="4">
        <f t="shared" si="9"/>
        <v>0</v>
      </c>
      <c r="I142" s="5">
        <f t="shared" si="9"/>
        <v>0</v>
      </c>
      <c r="J142" s="4">
        <f t="shared" si="9"/>
        <v>0</v>
      </c>
      <c r="K142" s="5">
        <f t="shared" si="9"/>
        <v>0</v>
      </c>
      <c r="L142" s="4">
        <f t="shared" si="9"/>
        <v>0</v>
      </c>
      <c r="M142" s="5">
        <f t="shared" si="9"/>
        <v>0</v>
      </c>
    </row>
    <row r="143" spans="1:13" ht="12.75">
      <c r="A143" s="3">
        <v>43922</v>
      </c>
      <c r="B143" s="4">
        <f t="shared" si="9"/>
        <v>0</v>
      </c>
      <c r="C143" s="5">
        <f t="shared" si="9"/>
        <v>0</v>
      </c>
      <c r="D143" s="4">
        <f t="shared" si="9"/>
        <v>0</v>
      </c>
      <c r="E143" s="5">
        <f t="shared" si="9"/>
        <v>0</v>
      </c>
      <c r="F143" s="4">
        <f t="shared" si="9"/>
        <v>0</v>
      </c>
      <c r="G143" s="5">
        <f t="shared" si="9"/>
        <v>0</v>
      </c>
      <c r="H143" s="4">
        <f t="shared" si="9"/>
        <v>0</v>
      </c>
      <c r="I143" s="5">
        <f t="shared" si="9"/>
        <v>0</v>
      </c>
      <c r="J143" s="4">
        <f t="shared" si="9"/>
        <v>0</v>
      </c>
      <c r="K143" s="5">
        <f t="shared" si="9"/>
        <v>0</v>
      </c>
      <c r="L143" s="4">
        <f t="shared" si="9"/>
        <v>0</v>
      </c>
      <c r="M143" s="5">
        <f t="shared" si="9"/>
        <v>0</v>
      </c>
    </row>
    <row r="144" spans="1:13" ht="12.75">
      <c r="A144" s="3">
        <v>43952</v>
      </c>
      <c r="B144" s="4">
        <f t="shared" si="9"/>
        <v>0</v>
      </c>
      <c r="C144" s="5">
        <f t="shared" si="9"/>
        <v>0</v>
      </c>
      <c r="D144" s="4">
        <f t="shared" si="9"/>
        <v>0</v>
      </c>
      <c r="E144" s="5">
        <f t="shared" si="9"/>
        <v>0</v>
      </c>
      <c r="F144" s="4">
        <f t="shared" si="9"/>
        <v>0</v>
      </c>
      <c r="G144" s="5">
        <f t="shared" si="9"/>
        <v>0</v>
      </c>
      <c r="H144" s="4">
        <f t="shared" si="9"/>
        <v>0</v>
      </c>
      <c r="I144" s="5">
        <f t="shared" si="9"/>
        <v>0</v>
      </c>
      <c r="J144" s="4">
        <f t="shared" si="9"/>
        <v>0</v>
      </c>
      <c r="K144" s="5">
        <f t="shared" si="9"/>
        <v>0</v>
      </c>
      <c r="L144" s="4">
        <f t="shared" si="9"/>
        <v>0</v>
      </c>
      <c r="M144" s="5">
        <f t="shared" si="9"/>
        <v>0</v>
      </c>
    </row>
    <row r="145" spans="1:13" ht="12.75">
      <c r="A145" s="3">
        <v>43983</v>
      </c>
      <c r="B145" s="4">
        <f t="shared" si="9"/>
        <v>0</v>
      </c>
      <c r="C145" s="5">
        <f t="shared" si="9"/>
        <v>0</v>
      </c>
      <c r="D145" s="4">
        <f t="shared" si="9"/>
        <v>0</v>
      </c>
      <c r="E145" s="5">
        <f t="shared" si="9"/>
        <v>0</v>
      </c>
      <c r="F145" s="4">
        <f t="shared" si="9"/>
        <v>0</v>
      </c>
      <c r="G145" s="5">
        <f t="shared" si="9"/>
        <v>0</v>
      </c>
      <c r="H145" s="4">
        <f t="shared" si="9"/>
        <v>0</v>
      </c>
      <c r="I145" s="5">
        <f t="shared" si="9"/>
        <v>0</v>
      </c>
      <c r="J145" s="4">
        <f t="shared" si="9"/>
        <v>0</v>
      </c>
      <c r="K145" s="5">
        <f t="shared" si="9"/>
        <v>0</v>
      </c>
      <c r="L145" s="4">
        <f t="shared" si="9"/>
        <v>0</v>
      </c>
      <c r="M145" s="5">
        <f t="shared" si="9"/>
        <v>0</v>
      </c>
    </row>
    <row r="146" spans="1:13" ht="12.75">
      <c r="A146" s="3">
        <v>44013</v>
      </c>
      <c r="B146" s="4">
        <f t="shared" si="9"/>
        <v>0</v>
      </c>
      <c r="C146" s="5">
        <f t="shared" si="9"/>
        <v>0</v>
      </c>
      <c r="D146" s="4">
        <f t="shared" si="9"/>
        <v>0</v>
      </c>
      <c r="E146" s="5">
        <f t="shared" si="9"/>
        <v>0</v>
      </c>
      <c r="F146" s="4">
        <f t="shared" si="9"/>
        <v>0</v>
      </c>
      <c r="G146" s="5">
        <f t="shared" si="9"/>
        <v>0</v>
      </c>
      <c r="H146" s="4">
        <f t="shared" si="9"/>
        <v>0</v>
      </c>
      <c r="I146" s="5">
        <f t="shared" si="9"/>
        <v>0</v>
      </c>
      <c r="J146" s="4">
        <f t="shared" si="9"/>
        <v>0</v>
      </c>
      <c r="K146" s="5">
        <f t="shared" si="9"/>
        <v>0</v>
      </c>
      <c r="L146" s="4">
        <f t="shared" si="9"/>
        <v>0</v>
      </c>
      <c r="M146" s="5">
        <f t="shared" si="9"/>
        <v>0</v>
      </c>
    </row>
    <row r="147" spans="1:13" ht="12.75">
      <c r="A147" s="3">
        <v>44044</v>
      </c>
      <c r="B147" s="4">
        <f t="shared" si="9"/>
        <v>0</v>
      </c>
      <c r="C147" s="5">
        <f t="shared" si="9"/>
        <v>0</v>
      </c>
      <c r="D147" s="4">
        <f t="shared" si="9"/>
        <v>0</v>
      </c>
      <c r="E147" s="5">
        <f t="shared" si="9"/>
        <v>0</v>
      </c>
      <c r="F147" s="4">
        <f t="shared" si="9"/>
        <v>0</v>
      </c>
      <c r="G147" s="5">
        <f t="shared" si="9"/>
        <v>0</v>
      </c>
      <c r="H147" s="4">
        <f t="shared" si="9"/>
        <v>0</v>
      </c>
      <c r="I147" s="5">
        <f t="shared" si="9"/>
        <v>0</v>
      </c>
      <c r="J147" s="4">
        <f t="shared" si="9"/>
        <v>0</v>
      </c>
      <c r="K147" s="5">
        <f t="shared" si="9"/>
        <v>0</v>
      </c>
      <c r="L147" s="4">
        <f t="shared" si="9"/>
        <v>0</v>
      </c>
      <c r="M147" s="5">
        <f t="shared" si="9"/>
        <v>0</v>
      </c>
    </row>
    <row r="148" spans="1:13" ht="12.75">
      <c r="A148" s="3">
        <v>44075</v>
      </c>
      <c r="B148" s="4">
        <f t="shared" si="9"/>
        <v>0</v>
      </c>
      <c r="C148" s="5">
        <f t="shared" si="9"/>
        <v>0</v>
      </c>
      <c r="D148" s="4">
        <f t="shared" si="9"/>
        <v>0</v>
      </c>
      <c r="E148" s="5">
        <f t="shared" si="9"/>
        <v>0</v>
      </c>
      <c r="F148" s="4">
        <f t="shared" si="9"/>
        <v>0</v>
      </c>
      <c r="G148" s="5">
        <f t="shared" si="9"/>
        <v>0</v>
      </c>
      <c r="H148" s="4">
        <f t="shared" si="9"/>
        <v>0</v>
      </c>
      <c r="I148" s="5">
        <f t="shared" si="9"/>
        <v>0</v>
      </c>
      <c r="J148" s="4">
        <f t="shared" si="9"/>
        <v>0</v>
      </c>
      <c r="K148" s="5">
        <f t="shared" si="9"/>
        <v>0</v>
      </c>
      <c r="L148" s="4">
        <f t="shared" si="9"/>
        <v>0</v>
      </c>
      <c r="M148" s="5">
        <f t="shared" si="9"/>
        <v>0</v>
      </c>
    </row>
    <row r="149" spans="1:13" ht="13.5" thickBot="1">
      <c r="A149" s="13" t="s">
        <v>38</v>
      </c>
      <c r="B149" s="14">
        <f aca="true" t="shared" si="10" ref="B149:M149">SUM(B137:B148)</f>
        <v>787706</v>
      </c>
      <c r="C149" s="15">
        <f t="shared" si="10"/>
        <v>2953897.5</v>
      </c>
      <c r="D149" s="14">
        <f t="shared" si="10"/>
        <v>6275</v>
      </c>
      <c r="E149" s="15">
        <f t="shared" si="10"/>
        <v>62746</v>
      </c>
      <c r="F149" s="14">
        <f t="shared" si="10"/>
        <v>8224</v>
      </c>
      <c r="G149" s="15">
        <f t="shared" si="10"/>
        <v>116328</v>
      </c>
      <c r="H149" s="17">
        <f t="shared" si="10"/>
        <v>132</v>
      </c>
      <c r="I149" s="15">
        <f t="shared" si="10"/>
        <v>2158</v>
      </c>
      <c r="J149" s="14">
        <f t="shared" si="10"/>
        <v>49449</v>
      </c>
      <c r="K149" s="15">
        <f t="shared" si="10"/>
        <v>982800.5</v>
      </c>
      <c r="L149" s="14">
        <f t="shared" si="10"/>
        <v>3166</v>
      </c>
      <c r="M149" s="15">
        <f t="shared" si="10"/>
        <v>75357.75</v>
      </c>
    </row>
    <row r="150" spans="1:13" ht="12.75" thickBo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21" t="s">
        <v>1</v>
      </c>
      <c r="B151" s="22" t="s">
        <v>16</v>
      </c>
      <c r="C151" s="22" t="s">
        <v>17</v>
      </c>
      <c r="D151" s="22" t="s">
        <v>25</v>
      </c>
      <c r="E151" s="22" t="s">
        <v>26</v>
      </c>
      <c r="F151" s="22" t="s">
        <v>18</v>
      </c>
      <c r="G151" s="22" t="s">
        <v>19</v>
      </c>
      <c r="H151" s="22" t="s">
        <v>7</v>
      </c>
      <c r="I151" s="22" t="s">
        <v>28</v>
      </c>
      <c r="J151" s="22" t="s">
        <v>20</v>
      </c>
      <c r="K151" s="22" t="s">
        <v>21</v>
      </c>
      <c r="L151" s="22" t="s">
        <v>22</v>
      </c>
      <c r="M151" s="22" t="s">
        <v>22</v>
      </c>
    </row>
    <row r="152" spans="1:13" ht="13.5" thickBot="1">
      <c r="A152" s="24" t="s">
        <v>8</v>
      </c>
      <c r="B152" s="25">
        <v>1</v>
      </c>
      <c r="C152" s="26" t="s">
        <v>15</v>
      </c>
      <c r="D152" s="25" t="s">
        <v>29</v>
      </c>
      <c r="E152" s="26" t="s">
        <v>15</v>
      </c>
      <c r="F152" s="25">
        <v>10</v>
      </c>
      <c r="G152" s="26" t="s">
        <v>15</v>
      </c>
      <c r="H152" s="25">
        <v>1</v>
      </c>
      <c r="I152" s="26" t="s">
        <v>15</v>
      </c>
      <c r="J152" s="26"/>
      <c r="K152" s="26" t="s">
        <v>15</v>
      </c>
      <c r="L152" s="26" t="s">
        <v>23</v>
      </c>
      <c r="M152" s="26" t="s">
        <v>9</v>
      </c>
    </row>
    <row r="153" spans="1:13" ht="12.75">
      <c r="A153" s="3">
        <v>43739</v>
      </c>
      <c r="B153" s="4">
        <f aca="true" t="shared" si="11" ref="B153:M164">B27+B69+B111</f>
        <v>5470</v>
      </c>
      <c r="C153" s="7">
        <f t="shared" si="11"/>
        <v>5470</v>
      </c>
      <c r="D153" s="4">
        <f t="shared" si="11"/>
        <v>6612</v>
      </c>
      <c r="E153" s="7">
        <f t="shared" si="11"/>
        <v>55114</v>
      </c>
      <c r="F153" s="4">
        <f t="shared" si="11"/>
        <v>511</v>
      </c>
      <c r="G153" s="7">
        <f t="shared" si="11"/>
        <v>5110</v>
      </c>
      <c r="H153" s="4">
        <f t="shared" si="11"/>
        <v>196161</v>
      </c>
      <c r="I153" s="7">
        <f t="shared" si="11"/>
        <v>196161</v>
      </c>
      <c r="J153" s="4">
        <f t="shared" si="11"/>
        <v>3261</v>
      </c>
      <c r="K153" s="7">
        <f t="shared" si="11"/>
        <v>39574.58</v>
      </c>
      <c r="L153" s="6">
        <f t="shared" si="11"/>
        <v>491301</v>
      </c>
      <c r="M153" s="8">
        <f t="shared" si="11"/>
        <v>1711625.83</v>
      </c>
    </row>
    <row r="154" spans="1:13" ht="12.75">
      <c r="A154" s="3">
        <v>43770</v>
      </c>
      <c r="B154" s="4">
        <f t="shared" si="11"/>
        <v>5550</v>
      </c>
      <c r="C154" s="7">
        <f t="shared" si="11"/>
        <v>5550</v>
      </c>
      <c r="D154" s="4">
        <f t="shared" si="11"/>
        <v>5626</v>
      </c>
      <c r="E154" s="7">
        <f t="shared" si="11"/>
        <v>47003.5</v>
      </c>
      <c r="F154" s="4">
        <f t="shared" si="11"/>
        <v>513</v>
      </c>
      <c r="G154" s="7">
        <f t="shared" si="11"/>
        <v>5130</v>
      </c>
      <c r="H154" s="4">
        <f t="shared" si="11"/>
        <v>195585</v>
      </c>
      <c r="I154" s="7">
        <f t="shared" si="11"/>
        <v>195585</v>
      </c>
      <c r="J154" s="4">
        <f t="shared" si="11"/>
        <v>2874</v>
      </c>
      <c r="K154" s="7">
        <f t="shared" si="11"/>
        <v>31525.509999999995</v>
      </c>
      <c r="L154" s="6">
        <f t="shared" si="11"/>
        <v>489000</v>
      </c>
      <c r="M154" s="8">
        <f t="shared" si="11"/>
        <v>1649815.26</v>
      </c>
    </row>
    <row r="155" spans="1:13" ht="12.75">
      <c r="A155" s="3">
        <v>43800</v>
      </c>
      <c r="B155" s="4">
        <f t="shared" si="11"/>
        <v>5988</v>
      </c>
      <c r="C155" s="7">
        <f t="shared" si="11"/>
        <v>5988</v>
      </c>
      <c r="D155" s="4">
        <f t="shared" si="11"/>
        <v>8153</v>
      </c>
      <c r="E155" s="7">
        <f t="shared" si="11"/>
        <v>68659</v>
      </c>
      <c r="F155" s="4">
        <f t="shared" si="11"/>
        <v>549</v>
      </c>
      <c r="G155" s="7">
        <f t="shared" si="11"/>
        <v>5490</v>
      </c>
      <c r="H155" s="4">
        <f t="shared" si="11"/>
        <v>209211</v>
      </c>
      <c r="I155" s="7">
        <f t="shared" si="11"/>
        <v>209211</v>
      </c>
      <c r="J155" s="4">
        <f t="shared" si="11"/>
        <v>4247</v>
      </c>
      <c r="K155" s="7">
        <f t="shared" si="11"/>
        <v>28079.799999999996</v>
      </c>
      <c r="L155" s="6">
        <f t="shared" si="11"/>
        <v>524962</v>
      </c>
      <c r="M155" s="8">
        <f t="shared" si="11"/>
        <v>1735498.05</v>
      </c>
    </row>
    <row r="156" spans="1:13" ht="12.75">
      <c r="A156" s="3">
        <v>43831</v>
      </c>
      <c r="B156" s="4">
        <f t="shared" si="11"/>
        <v>0</v>
      </c>
      <c r="C156" s="7">
        <f t="shared" si="11"/>
        <v>0</v>
      </c>
      <c r="D156" s="4">
        <f t="shared" si="11"/>
        <v>0</v>
      </c>
      <c r="E156" s="7">
        <f t="shared" si="11"/>
        <v>0</v>
      </c>
      <c r="F156" s="4">
        <f t="shared" si="11"/>
        <v>0</v>
      </c>
      <c r="G156" s="7">
        <f t="shared" si="11"/>
        <v>0</v>
      </c>
      <c r="H156" s="4">
        <f t="shared" si="11"/>
        <v>0</v>
      </c>
      <c r="I156" s="7">
        <f t="shared" si="11"/>
        <v>0</v>
      </c>
      <c r="J156" s="4">
        <f t="shared" si="11"/>
        <v>0</v>
      </c>
      <c r="K156" s="7">
        <f t="shared" si="11"/>
        <v>0</v>
      </c>
      <c r="L156" s="6">
        <f t="shared" si="11"/>
        <v>0</v>
      </c>
      <c r="M156" s="8">
        <f t="shared" si="11"/>
        <v>0</v>
      </c>
    </row>
    <row r="157" spans="1:13" ht="12.75">
      <c r="A157" s="3">
        <v>43862</v>
      </c>
      <c r="B157" s="4">
        <f t="shared" si="11"/>
        <v>0</v>
      </c>
      <c r="C157" s="7">
        <f t="shared" si="11"/>
        <v>0</v>
      </c>
      <c r="D157" s="4">
        <f t="shared" si="11"/>
        <v>0</v>
      </c>
      <c r="E157" s="7">
        <f t="shared" si="11"/>
        <v>0</v>
      </c>
      <c r="F157" s="4">
        <f t="shared" si="11"/>
        <v>0</v>
      </c>
      <c r="G157" s="7">
        <f t="shared" si="11"/>
        <v>0</v>
      </c>
      <c r="H157" s="4">
        <f t="shared" si="11"/>
        <v>0</v>
      </c>
      <c r="I157" s="7">
        <f t="shared" si="11"/>
        <v>0</v>
      </c>
      <c r="J157" s="4">
        <f t="shared" si="11"/>
        <v>0</v>
      </c>
      <c r="K157" s="7">
        <f t="shared" si="11"/>
        <v>0</v>
      </c>
      <c r="L157" s="6">
        <f t="shared" si="11"/>
        <v>0</v>
      </c>
      <c r="M157" s="8">
        <f t="shared" si="11"/>
        <v>0</v>
      </c>
    </row>
    <row r="158" spans="1:13" ht="12.75">
      <c r="A158" s="3">
        <v>43891</v>
      </c>
      <c r="B158" s="4">
        <f t="shared" si="11"/>
        <v>0</v>
      </c>
      <c r="C158" s="7">
        <f t="shared" si="11"/>
        <v>0</v>
      </c>
      <c r="D158" s="4">
        <f t="shared" si="11"/>
        <v>0</v>
      </c>
      <c r="E158" s="7">
        <f t="shared" si="11"/>
        <v>0</v>
      </c>
      <c r="F158" s="4">
        <f t="shared" si="11"/>
        <v>0</v>
      </c>
      <c r="G158" s="7">
        <f t="shared" si="11"/>
        <v>0</v>
      </c>
      <c r="H158" s="4">
        <f t="shared" si="11"/>
        <v>0</v>
      </c>
      <c r="I158" s="7">
        <f t="shared" si="11"/>
        <v>0</v>
      </c>
      <c r="J158" s="4">
        <f t="shared" si="11"/>
        <v>0</v>
      </c>
      <c r="K158" s="7">
        <f t="shared" si="11"/>
        <v>0</v>
      </c>
      <c r="L158" s="6">
        <f t="shared" si="11"/>
        <v>0</v>
      </c>
      <c r="M158" s="8">
        <f t="shared" si="11"/>
        <v>0</v>
      </c>
    </row>
    <row r="159" spans="1:13" ht="12.75">
      <c r="A159" s="3">
        <v>43922</v>
      </c>
      <c r="B159" s="4">
        <f t="shared" si="11"/>
        <v>0</v>
      </c>
      <c r="C159" s="7">
        <f t="shared" si="11"/>
        <v>0</v>
      </c>
      <c r="D159" s="4">
        <f t="shared" si="11"/>
        <v>0</v>
      </c>
      <c r="E159" s="7">
        <f t="shared" si="11"/>
        <v>0</v>
      </c>
      <c r="F159" s="4">
        <f t="shared" si="11"/>
        <v>0</v>
      </c>
      <c r="G159" s="7">
        <f t="shared" si="11"/>
        <v>0</v>
      </c>
      <c r="H159" s="4">
        <f t="shared" si="11"/>
        <v>0</v>
      </c>
      <c r="I159" s="7">
        <f t="shared" si="11"/>
        <v>0</v>
      </c>
      <c r="J159" s="4">
        <f t="shared" si="11"/>
        <v>0</v>
      </c>
      <c r="K159" s="7">
        <f t="shared" si="11"/>
        <v>0</v>
      </c>
      <c r="L159" s="6">
        <f t="shared" si="11"/>
        <v>0</v>
      </c>
      <c r="M159" s="8">
        <f t="shared" si="11"/>
        <v>0</v>
      </c>
    </row>
    <row r="160" spans="1:13" ht="12.75">
      <c r="A160" s="3">
        <v>43952</v>
      </c>
      <c r="B160" s="4">
        <f t="shared" si="11"/>
        <v>0</v>
      </c>
      <c r="C160" s="7">
        <f t="shared" si="11"/>
        <v>0</v>
      </c>
      <c r="D160" s="4">
        <f t="shared" si="11"/>
        <v>0</v>
      </c>
      <c r="E160" s="7">
        <f t="shared" si="11"/>
        <v>0</v>
      </c>
      <c r="F160" s="4">
        <f t="shared" si="11"/>
        <v>0</v>
      </c>
      <c r="G160" s="7">
        <f t="shared" si="11"/>
        <v>0</v>
      </c>
      <c r="H160" s="4">
        <f t="shared" si="11"/>
        <v>0</v>
      </c>
      <c r="I160" s="7">
        <f t="shared" si="11"/>
        <v>0</v>
      </c>
      <c r="J160" s="4">
        <f t="shared" si="11"/>
        <v>0</v>
      </c>
      <c r="K160" s="7">
        <f t="shared" si="11"/>
        <v>0</v>
      </c>
      <c r="L160" s="6">
        <f t="shared" si="11"/>
        <v>0</v>
      </c>
      <c r="M160" s="8">
        <f t="shared" si="11"/>
        <v>0</v>
      </c>
    </row>
    <row r="161" spans="1:13" ht="12.75">
      <c r="A161" s="3">
        <v>43983</v>
      </c>
      <c r="B161" s="4">
        <f t="shared" si="11"/>
        <v>0</v>
      </c>
      <c r="C161" s="7">
        <f t="shared" si="11"/>
        <v>0</v>
      </c>
      <c r="D161" s="4">
        <f t="shared" si="11"/>
        <v>0</v>
      </c>
      <c r="E161" s="7">
        <f t="shared" si="11"/>
        <v>0</v>
      </c>
      <c r="F161" s="4">
        <f t="shared" si="11"/>
        <v>0</v>
      </c>
      <c r="G161" s="7">
        <f t="shared" si="11"/>
        <v>0</v>
      </c>
      <c r="H161" s="4">
        <f t="shared" si="11"/>
        <v>0</v>
      </c>
      <c r="I161" s="7">
        <f t="shared" si="11"/>
        <v>0</v>
      </c>
      <c r="J161" s="4">
        <f t="shared" si="11"/>
        <v>0</v>
      </c>
      <c r="K161" s="7">
        <f t="shared" si="11"/>
        <v>0</v>
      </c>
      <c r="L161" s="6">
        <f t="shared" si="11"/>
        <v>0</v>
      </c>
      <c r="M161" s="8">
        <f t="shared" si="11"/>
        <v>0</v>
      </c>
    </row>
    <row r="162" spans="1:13" ht="12.75">
      <c r="A162" s="3">
        <v>44013</v>
      </c>
      <c r="B162" s="4">
        <f t="shared" si="11"/>
        <v>0</v>
      </c>
      <c r="C162" s="7">
        <f t="shared" si="11"/>
        <v>0</v>
      </c>
      <c r="D162" s="4">
        <f t="shared" si="11"/>
        <v>0</v>
      </c>
      <c r="E162" s="7">
        <f t="shared" si="11"/>
        <v>0</v>
      </c>
      <c r="F162" s="4">
        <f t="shared" si="11"/>
        <v>0</v>
      </c>
      <c r="G162" s="7">
        <f t="shared" si="11"/>
        <v>0</v>
      </c>
      <c r="H162" s="4">
        <f t="shared" si="11"/>
        <v>0</v>
      </c>
      <c r="I162" s="7">
        <f t="shared" si="11"/>
        <v>0</v>
      </c>
      <c r="J162" s="4">
        <f t="shared" si="11"/>
        <v>0</v>
      </c>
      <c r="K162" s="7">
        <f t="shared" si="11"/>
        <v>0</v>
      </c>
      <c r="L162" s="6">
        <f t="shared" si="11"/>
        <v>0</v>
      </c>
      <c r="M162" s="8">
        <f t="shared" si="11"/>
        <v>0</v>
      </c>
    </row>
    <row r="163" spans="1:13" ht="12.75">
      <c r="A163" s="3">
        <v>44044</v>
      </c>
      <c r="B163" s="4">
        <f t="shared" si="11"/>
        <v>0</v>
      </c>
      <c r="C163" s="7">
        <f t="shared" si="11"/>
        <v>0</v>
      </c>
      <c r="D163" s="4">
        <f t="shared" si="11"/>
        <v>0</v>
      </c>
      <c r="E163" s="7">
        <f t="shared" si="11"/>
        <v>0</v>
      </c>
      <c r="F163" s="4">
        <f t="shared" si="11"/>
        <v>0</v>
      </c>
      <c r="G163" s="7">
        <f t="shared" si="11"/>
        <v>0</v>
      </c>
      <c r="H163" s="4">
        <f t="shared" si="11"/>
        <v>0</v>
      </c>
      <c r="I163" s="7">
        <f t="shared" si="11"/>
        <v>0</v>
      </c>
      <c r="J163" s="4">
        <f t="shared" si="11"/>
        <v>0</v>
      </c>
      <c r="K163" s="7">
        <f t="shared" si="11"/>
        <v>0</v>
      </c>
      <c r="L163" s="6">
        <f t="shared" si="11"/>
        <v>0</v>
      </c>
      <c r="M163" s="8">
        <f t="shared" si="11"/>
        <v>0</v>
      </c>
    </row>
    <row r="164" spans="1:13" ht="12.75">
      <c r="A164" s="3">
        <v>44075</v>
      </c>
      <c r="B164" s="4">
        <f t="shared" si="11"/>
        <v>0</v>
      </c>
      <c r="C164" s="7">
        <f t="shared" si="11"/>
        <v>0</v>
      </c>
      <c r="D164" s="4">
        <f t="shared" si="11"/>
        <v>0</v>
      </c>
      <c r="E164" s="7">
        <f t="shared" si="11"/>
        <v>0</v>
      </c>
      <c r="F164" s="4">
        <f t="shared" si="11"/>
        <v>0</v>
      </c>
      <c r="G164" s="7">
        <f t="shared" si="11"/>
        <v>0</v>
      </c>
      <c r="H164" s="4">
        <f t="shared" si="11"/>
        <v>0</v>
      </c>
      <c r="I164" s="7">
        <f t="shared" si="11"/>
        <v>0</v>
      </c>
      <c r="J164" s="4">
        <f t="shared" si="11"/>
        <v>0</v>
      </c>
      <c r="K164" s="7">
        <f t="shared" si="11"/>
        <v>0</v>
      </c>
      <c r="L164" s="6">
        <f t="shared" si="11"/>
        <v>0</v>
      </c>
      <c r="M164" s="8">
        <f t="shared" si="11"/>
        <v>0</v>
      </c>
    </row>
    <row r="165" spans="1:13" ht="13.5" thickBot="1">
      <c r="A165" s="13" t="s">
        <v>38</v>
      </c>
      <c r="B165" s="14">
        <f aca="true" t="shared" si="12" ref="B165:M165">SUM(B153:B164)</f>
        <v>17008</v>
      </c>
      <c r="C165" s="16">
        <f t="shared" si="12"/>
        <v>17008</v>
      </c>
      <c r="D165" s="14">
        <f t="shared" si="12"/>
        <v>20391</v>
      </c>
      <c r="E165" s="16">
        <f t="shared" si="12"/>
        <v>170776.5</v>
      </c>
      <c r="F165" s="14">
        <f t="shared" si="12"/>
        <v>1573</v>
      </c>
      <c r="G165" s="16">
        <f t="shared" si="12"/>
        <v>15730</v>
      </c>
      <c r="H165" s="14">
        <f t="shared" si="12"/>
        <v>600957</v>
      </c>
      <c r="I165" s="16">
        <f t="shared" si="12"/>
        <v>600957</v>
      </c>
      <c r="J165" s="14">
        <f t="shared" si="12"/>
        <v>10382</v>
      </c>
      <c r="K165" s="16">
        <f t="shared" si="12"/>
        <v>99179.88999999998</v>
      </c>
      <c r="L165" s="18">
        <f t="shared" si="12"/>
        <v>1505263</v>
      </c>
      <c r="M165" s="19">
        <f t="shared" si="12"/>
        <v>5096939.14</v>
      </c>
    </row>
    <row r="166" spans="1:13" ht="1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ht="12">
      <c r="A168" s="20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.75">
      <c r="A169" s="11" t="s">
        <v>24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</sheetData>
  <sheetProtection/>
  <mergeCells count="12">
    <mergeCell ref="A2:M2"/>
    <mergeCell ref="A3:M3"/>
    <mergeCell ref="A41:M41"/>
    <mergeCell ref="A44:M44"/>
    <mergeCell ref="A45:M45"/>
    <mergeCell ref="A83:M83"/>
    <mergeCell ref="A86:M86"/>
    <mergeCell ref="A87:M87"/>
    <mergeCell ref="A125:M125"/>
    <mergeCell ref="A128:M128"/>
    <mergeCell ref="A129:M129"/>
    <mergeCell ref="A167:M167"/>
  </mergeCells>
  <printOptions horizontalCentered="1"/>
  <pageMargins left="0.25" right="0.25" top="0.66" bottom="0.23" header="0.28" footer="0.25"/>
  <pageSetup horizontalDpi="600" verticalDpi="600" orientation="landscape" scale="85" r:id="rId2"/>
  <rowBreaks count="3" manualBreakCount="3">
    <brk id="43" max="12" man="1"/>
    <brk id="85" max="12" man="1"/>
    <brk id="12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Mario Peña Jr.</cp:lastModifiedBy>
  <cp:lastPrinted>2020-01-03T21:47:28Z</cp:lastPrinted>
  <dcterms:created xsi:type="dcterms:W3CDTF">2020-01-27T16:29:58Z</dcterms:created>
  <dcterms:modified xsi:type="dcterms:W3CDTF">2020-01-27T16:29:58Z</dcterms:modified>
  <cp:category/>
  <cp:version/>
  <cp:contentType/>
  <cp:contentStatus/>
</cp:coreProperties>
</file>